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65" windowWidth="16515" windowHeight="11670" firstSheet="21" activeTab="26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  <sheet name="Octubre" sheetId="8" r:id="rId8"/>
    <sheet name="Diciembre" sheetId="9" r:id="rId9"/>
    <sheet name="Febrero 2021" sheetId="10" r:id="rId10"/>
    <sheet name="Marzo 2021" sheetId="11" r:id="rId11"/>
    <sheet name="Abril 2021" sheetId="12" r:id="rId12"/>
    <sheet name="MAYO 2021" sheetId="13" r:id="rId13"/>
    <sheet name="JUNIO 2021" sheetId="14" r:id="rId14"/>
    <sheet name="JULIO 2021" sheetId="15" r:id="rId15"/>
    <sheet name="AGOSTO 2021" sheetId="16" r:id="rId16"/>
    <sheet name="SEPTIEMBRE 2021" sheetId="17" r:id="rId17"/>
    <sheet name="OCTUBRE 2021" sheetId="18" r:id="rId18"/>
    <sheet name="NOVIEMBRE 2021" sheetId="19" r:id="rId19"/>
    <sheet name="ENERO 2022" sheetId="20" r:id="rId20"/>
    <sheet name="FEBRERO 2022" sheetId="21" r:id="rId21"/>
    <sheet name="MARZO 2022" sheetId="22" r:id="rId22"/>
    <sheet name="ABRIL 2022" sheetId="23" r:id="rId23"/>
    <sheet name="MAYO 2022" sheetId="24" r:id="rId24"/>
    <sheet name="JUNIO 2022" sheetId="25" r:id="rId25"/>
    <sheet name="JULIO 2022" sheetId="26" r:id="rId26"/>
    <sheet name="AGOSTO 2022" sheetId="27" r:id="rId27"/>
  </sheets>
  <calcPr calcId="145621"/>
</workbook>
</file>

<file path=xl/calcChain.xml><?xml version="1.0" encoding="utf-8"?>
<calcChain xmlns="http://schemas.openxmlformats.org/spreadsheetml/2006/main">
  <c r="H17" i="27" l="1"/>
  <c r="G17" i="27"/>
  <c r="F17" i="27"/>
  <c r="E17" i="27"/>
  <c r="D17" i="27"/>
  <c r="I16" i="27"/>
  <c r="J16" i="27" s="1"/>
  <c r="I15" i="27"/>
  <c r="J15" i="27" s="1"/>
  <c r="I14" i="27"/>
  <c r="J14" i="27" s="1"/>
  <c r="C13" i="27"/>
  <c r="I13" i="27" s="1"/>
  <c r="J13" i="27" s="1"/>
  <c r="I12" i="27"/>
  <c r="J12" i="27" s="1"/>
  <c r="C11" i="27"/>
  <c r="I11" i="27" s="1"/>
  <c r="J11" i="27" s="1"/>
  <c r="I10" i="27"/>
  <c r="J10" i="27" s="1"/>
  <c r="I9" i="27"/>
  <c r="J9" i="27" s="1"/>
  <c r="I8" i="27"/>
  <c r="J8" i="27" s="1"/>
  <c r="C7" i="27"/>
  <c r="I7" i="27" s="1"/>
  <c r="J7" i="27" s="1"/>
  <c r="C6" i="27"/>
  <c r="I5" i="27"/>
  <c r="J5" i="27" s="1"/>
  <c r="C17" i="27" l="1"/>
  <c r="I17" i="27" s="1"/>
  <c r="J17" i="27" s="1"/>
  <c r="I6" i="27"/>
  <c r="J6" i="27" s="1"/>
  <c r="H17" i="26" l="1"/>
  <c r="G17" i="26"/>
  <c r="F17" i="26"/>
  <c r="E17" i="26"/>
  <c r="D17" i="26"/>
  <c r="I16" i="26"/>
  <c r="J16" i="26" s="1"/>
  <c r="I15" i="26"/>
  <c r="J15" i="26" s="1"/>
  <c r="C15" i="26"/>
  <c r="C14" i="26"/>
  <c r="I14" i="26" s="1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C8" i="26"/>
  <c r="I8" i="26" s="1"/>
  <c r="J8" i="26" s="1"/>
  <c r="I7" i="26"/>
  <c r="J7" i="26" s="1"/>
  <c r="I6" i="26"/>
  <c r="J6" i="26" s="1"/>
  <c r="I5" i="26"/>
  <c r="J5" i="26" s="1"/>
  <c r="C17" i="26" l="1"/>
  <c r="I17" i="26" s="1"/>
  <c r="J17" i="26" s="1"/>
  <c r="H16" i="25"/>
  <c r="G16" i="25"/>
  <c r="F16" i="25"/>
  <c r="E16" i="25"/>
  <c r="D16" i="25"/>
  <c r="I15" i="25"/>
  <c r="J15" i="25" s="1"/>
  <c r="I14" i="25"/>
  <c r="J14" i="25" s="1"/>
  <c r="I13" i="25"/>
  <c r="J13" i="25" s="1"/>
  <c r="C12" i="25"/>
  <c r="I12" i="25" s="1"/>
  <c r="J12" i="25" s="1"/>
  <c r="I11" i="25"/>
  <c r="J11" i="25" s="1"/>
  <c r="I10" i="25"/>
  <c r="J10" i="25" s="1"/>
  <c r="I9" i="25"/>
  <c r="J9" i="25" s="1"/>
  <c r="C8" i="25"/>
  <c r="C16" i="25" s="1"/>
  <c r="I16" i="25" s="1"/>
  <c r="J16" i="25" s="1"/>
  <c r="I7" i="25"/>
  <c r="J7" i="25" s="1"/>
  <c r="I6" i="25"/>
  <c r="J6" i="25" s="1"/>
  <c r="I5" i="25"/>
  <c r="J5" i="25" s="1"/>
  <c r="I8" i="25" l="1"/>
  <c r="J8" i="25" s="1"/>
  <c r="H19" i="24" l="1"/>
  <c r="G19" i="24"/>
  <c r="F19" i="24"/>
  <c r="E19" i="24"/>
  <c r="D19" i="24"/>
  <c r="I18" i="24"/>
  <c r="J18" i="24" s="1"/>
  <c r="I17" i="24"/>
  <c r="J17" i="24" s="1"/>
  <c r="I16" i="24"/>
  <c r="J16" i="24" s="1"/>
  <c r="I15" i="24"/>
  <c r="J15" i="24" s="1"/>
  <c r="C14" i="24"/>
  <c r="I14" i="24" s="1"/>
  <c r="J14" i="24" s="1"/>
  <c r="I13" i="24"/>
  <c r="J13" i="24" s="1"/>
  <c r="C12" i="24"/>
  <c r="I12" i="24" s="1"/>
  <c r="J12" i="24" s="1"/>
  <c r="I11" i="24"/>
  <c r="J11" i="24" s="1"/>
  <c r="I10" i="24"/>
  <c r="J10" i="24" s="1"/>
  <c r="I9" i="24"/>
  <c r="J9" i="24" s="1"/>
  <c r="I8" i="24"/>
  <c r="J8" i="24" s="1"/>
  <c r="C7" i="24"/>
  <c r="I6" i="24"/>
  <c r="J6" i="24" s="1"/>
  <c r="I5" i="24"/>
  <c r="J5" i="24" s="1"/>
  <c r="C19" i="24" l="1"/>
  <c r="I19" i="24" s="1"/>
  <c r="J19" i="24" s="1"/>
  <c r="I7" i="24"/>
  <c r="J7" i="24" s="1"/>
  <c r="H15" i="23"/>
  <c r="G15" i="23"/>
  <c r="F15" i="23"/>
  <c r="E15" i="23"/>
  <c r="D15" i="23"/>
  <c r="I14" i="23"/>
  <c r="J14" i="23" s="1"/>
  <c r="I13" i="23"/>
  <c r="J13" i="23" s="1"/>
  <c r="C12" i="23"/>
  <c r="I12" i="23" s="1"/>
  <c r="J12" i="23" s="1"/>
  <c r="I11" i="23"/>
  <c r="J11" i="23" s="1"/>
  <c r="C10" i="23"/>
  <c r="I9" i="23"/>
  <c r="J9" i="23" s="1"/>
  <c r="I8" i="23"/>
  <c r="J8" i="23" s="1"/>
  <c r="C7" i="23"/>
  <c r="I6" i="23"/>
  <c r="J6" i="23" s="1"/>
  <c r="I5" i="23"/>
  <c r="J5" i="23" s="1"/>
  <c r="C15" i="23" l="1"/>
  <c r="I15" i="23"/>
  <c r="J15" i="23" s="1"/>
  <c r="I10" i="23"/>
  <c r="J10" i="23" s="1"/>
  <c r="I7" i="23"/>
  <c r="J7" i="23" s="1"/>
  <c r="H17" i="22" l="1"/>
  <c r="G17" i="22"/>
  <c r="F17" i="22"/>
  <c r="E17" i="22"/>
  <c r="D17" i="22"/>
  <c r="I16" i="22"/>
  <c r="J16" i="22" s="1"/>
  <c r="I15" i="22"/>
  <c r="J15" i="22" s="1"/>
  <c r="C14" i="22"/>
  <c r="I14" i="22" s="1"/>
  <c r="J14" i="22" s="1"/>
  <c r="I13" i="22"/>
  <c r="J13" i="22" s="1"/>
  <c r="C12" i="22"/>
  <c r="I12" i="22" s="1"/>
  <c r="J12" i="22" s="1"/>
  <c r="C11" i="22"/>
  <c r="I11" i="22" s="1"/>
  <c r="J11" i="22" s="1"/>
  <c r="I10" i="22"/>
  <c r="J10" i="22" s="1"/>
  <c r="C9" i="22"/>
  <c r="I9" i="22" s="1"/>
  <c r="J9" i="22" s="1"/>
  <c r="I8" i="22"/>
  <c r="J8" i="22" s="1"/>
  <c r="I7" i="22"/>
  <c r="J7" i="22" s="1"/>
  <c r="I6" i="22"/>
  <c r="J6" i="22" s="1"/>
  <c r="I5" i="22"/>
  <c r="J5" i="22" s="1"/>
  <c r="I17" i="22" l="1"/>
  <c r="J17" i="22" s="1"/>
  <c r="C17" i="22"/>
  <c r="H20" i="21"/>
  <c r="G20" i="21"/>
  <c r="F20" i="21"/>
  <c r="E20" i="21"/>
  <c r="D20" i="21"/>
  <c r="I19" i="21"/>
  <c r="J19" i="21" s="1"/>
  <c r="I18" i="21"/>
  <c r="J18" i="21" s="1"/>
  <c r="I17" i="21"/>
  <c r="J17" i="21" s="1"/>
  <c r="I16" i="21"/>
  <c r="J16" i="21" s="1"/>
  <c r="I15" i="21"/>
  <c r="J15" i="21" s="1"/>
  <c r="C14" i="21"/>
  <c r="I14" i="21" s="1"/>
  <c r="J14" i="21" s="1"/>
  <c r="I13" i="21"/>
  <c r="J13" i="21" s="1"/>
  <c r="I12" i="21"/>
  <c r="J12" i="21" s="1"/>
  <c r="I11" i="21"/>
  <c r="J11" i="21" s="1"/>
  <c r="C10" i="21"/>
  <c r="I10" i="21" s="1"/>
  <c r="J10" i="21" s="1"/>
  <c r="I9" i="21"/>
  <c r="J9" i="21" s="1"/>
  <c r="I8" i="21"/>
  <c r="J8" i="21" s="1"/>
  <c r="C7" i="21"/>
  <c r="C20" i="21" s="1"/>
  <c r="I6" i="21"/>
  <c r="J6" i="21" s="1"/>
  <c r="I5" i="21"/>
  <c r="J5" i="21" s="1"/>
  <c r="I20" i="21" l="1"/>
  <c r="J20" i="21" s="1"/>
  <c r="I7" i="21"/>
  <c r="J7" i="21" s="1"/>
  <c r="H16" i="20"/>
  <c r="G16" i="20"/>
  <c r="F16" i="20"/>
  <c r="E16" i="20"/>
  <c r="D16" i="20"/>
  <c r="I15" i="20"/>
  <c r="J15" i="20" s="1"/>
  <c r="J14" i="20"/>
  <c r="I14" i="20"/>
  <c r="I13" i="20"/>
  <c r="J13" i="20" s="1"/>
  <c r="C12" i="20"/>
  <c r="I12" i="20" s="1"/>
  <c r="J12" i="20" s="1"/>
  <c r="I11" i="20"/>
  <c r="J11" i="20" s="1"/>
  <c r="I10" i="20"/>
  <c r="J10" i="20" s="1"/>
  <c r="I9" i="20"/>
  <c r="J9" i="20" s="1"/>
  <c r="C8" i="20"/>
  <c r="C16" i="20" s="1"/>
  <c r="J7" i="20"/>
  <c r="I7" i="20"/>
  <c r="I6" i="20"/>
  <c r="J6" i="20" s="1"/>
  <c r="I16" i="20" l="1"/>
  <c r="J16" i="20" s="1"/>
  <c r="I8" i="20"/>
  <c r="J8" i="20" s="1"/>
  <c r="H16" i="19" l="1"/>
  <c r="G16" i="19"/>
  <c r="F16" i="19"/>
  <c r="E16" i="19"/>
  <c r="D16" i="19"/>
  <c r="I15" i="19"/>
  <c r="J15" i="19" s="1"/>
  <c r="I14" i="19"/>
  <c r="J14" i="19" s="1"/>
  <c r="I13" i="19"/>
  <c r="J13" i="19" s="1"/>
  <c r="C12" i="19"/>
  <c r="I12" i="19" s="1"/>
  <c r="J12" i="19" s="1"/>
  <c r="C11" i="19"/>
  <c r="I11" i="19" s="1"/>
  <c r="J11" i="19" s="1"/>
  <c r="I10" i="19"/>
  <c r="J10" i="19" s="1"/>
  <c r="I9" i="19"/>
  <c r="J9" i="19" s="1"/>
  <c r="I8" i="19"/>
  <c r="J8" i="19" s="1"/>
  <c r="C7" i="19"/>
  <c r="I16" i="19" s="1"/>
  <c r="J16" i="19" s="1"/>
  <c r="J6" i="19"/>
  <c r="I6" i="19"/>
  <c r="I5" i="19"/>
  <c r="J5" i="19" s="1"/>
  <c r="I4" i="19"/>
  <c r="J4" i="19" s="1"/>
  <c r="C16" i="19" l="1"/>
  <c r="I7" i="19"/>
  <c r="J7" i="19" s="1"/>
  <c r="H16" i="18" l="1"/>
  <c r="G16" i="18"/>
  <c r="F16" i="18"/>
  <c r="E16" i="18"/>
  <c r="D16" i="18"/>
  <c r="I15" i="18"/>
  <c r="J15" i="18" s="1"/>
  <c r="J14" i="18"/>
  <c r="I14" i="18"/>
  <c r="C13" i="18"/>
  <c r="C16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13" i="18" l="1"/>
  <c r="J13" i="18" s="1"/>
  <c r="I16" i="18"/>
  <c r="J16" i="18" s="1"/>
  <c r="H18" i="17" l="1"/>
  <c r="G18" i="17"/>
  <c r="F18" i="17"/>
  <c r="E18" i="17"/>
  <c r="D18" i="17"/>
  <c r="I17" i="17"/>
  <c r="J17" i="17" s="1"/>
  <c r="I16" i="17"/>
  <c r="J16" i="17" s="1"/>
  <c r="C15" i="17"/>
  <c r="I15" i="17" s="1"/>
  <c r="J15" i="17" s="1"/>
  <c r="I14" i="17"/>
  <c r="J14" i="17" s="1"/>
  <c r="J13" i="17"/>
  <c r="I13" i="17"/>
  <c r="C12" i="17"/>
  <c r="I12" i="17" s="1"/>
  <c r="J12" i="17" s="1"/>
  <c r="I11" i="17"/>
  <c r="J11" i="17" s="1"/>
  <c r="I10" i="17"/>
  <c r="J10" i="17" s="1"/>
  <c r="C9" i="17"/>
  <c r="I8" i="17"/>
  <c r="J8" i="17" s="1"/>
  <c r="I7" i="17"/>
  <c r="J7" i="17" s="1"/>
  <c r="I6" i="17"/>
  <c r="J6" i="17" s="1"/>
  <c r="I5" i="17"/>
  <c r="C18" i="17" l="1"/>
  <c r="I18" i="17"/>
  <c r="J18" i="17" s="1"/>
  <c r="J5" i="17"/>
  <c r="I9" i="17"/>
  <c r="J9" i="17" s="1"/>
  <c r="I18" i="16" l="1"/>
  <c r="H18" i="16"/>
  <c r="G18" i="16"/>
  <c r="F18" i="16"/>
  <c r="E18" i="16"/>
  <c r="J17" i="16"/>
  <c r="K17" i="16" s="1"/>
  <c r="K16" i="16"/>
  <c r="J16" i="16"/>
  <c r="J15" i="16"/>
  <c r="K15" i="16" s="1"/>
  <c r="D14" i="16"/>
  <c r="J14" i="16" s="1"/>
  <c r="K14" i="16" s="1"/>
  <c r="J13" i="16"/>
  <c r="K13" i="16" s="1"/>
  <c r="J12" i="16"/>
  <c r="K12" i="16" s="1"/>
  <c r="D11" i="16"/>
  <c r="J10" i="16"/>
  <c r="K10" i="16" s="1"/>
  <c r="J9" i="16"/>
  <c r="K9" i="16" s="1"/>
  <c r="J8" i="16"/>
  <c r="K8" i="16" s="1"/>
  <c r="J7" i="16"/>
  <c r="K7" i="16" s="1"/>
  <c r="J6" i="16"/>
  <c r="K6" i="16" s="1"/>
  <c r="J5" i="16"/>
  <c r="J18" i="16" l="1"/>
  <c r="K18" i="16" s="1"/>
  <c r="J11" i="16"/>
  <c r="K11" i="16" s="1"/>
  <c r="K5" i="16"/>
  <c r="D18" i="16"/>
  <c r="I16" i="15"/>
  <c r="H16" i="15"/>
  <c r="G16" i="15"/>
  <c r="F16" i="15"/>
  <c r="E16" i="15"/>
  <c r="D15" i="15"/>
  <c r="J15" i="15" s="1"/>
  <c r="K15" i="15" s="1"/>
  <c r="D14" i="15"/>
  <c r="J14" i="15" s="1"/>
  <c r="K14" i="15" s="1"/>
  <c r="J13" i="15"/>
  <c r="K13" i="15" s="1"/>
  <c r="J12" i="15"/>
  <c r="K12" i="15" s="1"/>
  <c r="D11" i="15"/>
  <c r="J10" i="15"/>
  <c r="K10" i="15" s="1"/>
  <c r="J9" i="15"/>
  <c r="K9" i="15" s="1"/>
  <c r="J8" i="15"/>
  <c r="K8" i="15" s="1"/>
  <c r="J7" i="15"/>
  <c r="K7" i="15" s="1"/>
  <c r="J6" i="15"/>
  <c r="J5" i="15"/>
  <c r="K5" i="15" s="1"/>
  <c r="D16" i="15" l="1"/>
  <c r="K6" i="15"/>
  <c r="J16" i="15"/>
  <c r="K16" i="15" s="1"/>
  <c r="J11" i="15"/>
  <c r="K11" i="15" s="1"/>
  <c r="I15" i="14"/>
  <c r="H15" i="14"/>
  <c r="G15" i="14"/>
  <c r="F15" i="14"/>
  <c r="E15" i="14"/>
  <c r="D14" i="14"/>
  <c r="J14" i="14" s="1"/>
  <c r="K14" i="14" s="1"/>
  <c r="D13" i="14"/>
  <c r="J13" i="14" s="1"/>
  <c r="K13" i="14" s="1"/>
  <c r="J12" i="14"/>
  <c r="K12" i="14" s="1"/>
  <c r="D11" i="14"/>
  <c r="J10" i="14"/>
  <c r="K10" i="14" s="1"/>
  <c r="J9" i="14"/>
  <c r="K9" i="14" s="1"/>
  <c r="J8" i="14"/>
  <c r="K8" i="14" s="1"/>
  <c r="J7" i="14"/>
  <c r="K7" i="14" s="1"/>
  <c r="J6" i="14"/>
  <c r="K6" i="14" s="1"/>
  <c r="J5" i="14"/>
  <c r="D15" i="14" l="1"/>
  <c r="K5" i="14"/>
  <c r="J11" i="14"/>
  <c r="K11" i="14" s="1"/>
  <c r="J15" i="14"/>
  <c r="K15" i="14" s="1"/>
  <c r="I13" i="13"/>
  <c r="H13" i="13"/>
  <c r="G13" i="13"/>
  <c r="F13" i="13"/>
  <c r="E13" i="13"/>
  <c r="D12" i="13"/>
  <c r="J12" i="13" s="1"/>
  <c r="K12" i="13" s="1"/>
  <c r="J11" i="13"/>
  <c r="K11" i="13" s="1"/>
  <c r="D10" i="13"/>
  <c r="J10" i="13" s="1"/>
  <c r="K10" i="13" s="1"/>
  <c r="J9" i="13"/>
  <c r="K9" i="13" s="1"/>
  <c r="D8" i="13"/>
  <c r="J13" i="13" s="1"/>
  <c r="K13" i="13" s="1"/>
  <c r="J7" i="13"/>
  <c r="K7" i="13" s="1"/>
  <c r="J6" i="13"/>
  <c r="K6" i="13" s="1"/>
  <c r="J8" i="13" l="1"/>
  <c r="K8" i="13" s="1"/>
  <c r="D13" i="13"/>
  <c r="I19" i="12"/>
  <c r="H19" i="12"/>
  <c r="G19" i="12"/>
  <c r="F19" i="12"/>
  <c r="E19" i="12"/>
  <c r="J18" i="12"/>
  <c r="K18" i="12" s="1"/>
  <c r="J17" i="12"/>
  <c r="K17" i="12" s="1"/>
  <c r="J16" i="12"/>
  <c r="K16" i="12" s="1"/>
  <c r="J15" i="12"/>
  <c r="K15" i="12" s="1"/>
  <c r="D14" i="12"/>
  <c r="J14" i="12" s="1"/>
  <c r="K14" i="12" s="1"/>
  <c r="J13" i="12"/>
  <c r="K13" i="12" s="1"/>
  <c r="J12" i="12"/>
  <c r="K12" i="12" s="1"/>
  <c r="J11" i="12"/>
  <c r="K11" i="12" s="1"/>
  <c r="D10" i="12"/>
  <c r="J19" i="12" s="1"/>
  <c r="K19" i="12" s="1"/>
  <c r="J9" i="12"/>
  <c r="J8" i="12"/>
  <c r="K8" i="12" s="1"/>
  <c r="J7" i="12"/>
  <c r="K7" i="12" s="1"/>
  <c r="J6" i="12"/>
  <c r="K6" i="12" s="1"/>
  <c r="K9" i="12" l="1"/>
  <c r="D19" i="12"/>
  <c r="J10" i="12"/>
  <c r="K10" i="12" s="1"/>
  <c r="I14" i="11" l="1"/>
  <c r="H14" i="11"/>
  <c r="G14" i="11"/>
  <c r="F14" i="11"/>
  <c r="E14" i="11"/>
  <c r="J13" i="11"/>
  <c r="K13" i="11" s="1"/>
  <c r="D13" i="11"/>
  <c r="J12" i="11"/>
  <c r="K12" i="11" s="1"/>
  <c r="D11" i="11"/>
  <c r="J11" i="11" s="1"/>
  <c r="K11" i="11" s="1"/>
  <c r="J10" i="11"/>
  <c r="K10" i="11" s="1"/>
  <c r="J9" i="11"/>
  <c r="K9" i="11" s="1"/>
  <c r="J8" i="11"/>
  <c r="K8" i="11" s="1"/>
  <c r="D7" i="11"/>
  <c r="J14" i="11" s="1"/>
  <c r="K14" i="11" s="1"/>
  <c r="K6" i="11"/>
  <c r="J6" i="11"/>
  <c r="J5" i="11"/>
  <c r="K5" i="11" s="1"/>
  <c r="J4" i="11"/>
  <c r="K4" i="11" s="1"/>
  <c r="D14" i="11" l="1"/>
  <c r="J7" i="11"/>
  <c r="K7" i="11" s="1"/>
  <c r="H14" i="10"/>
  <c r="G14" i="10"/>
  <c r="F14" i="10"/>
  <c r="E14" i="10"/>
  <c r="D14" i="10"/>
  <c r="I13" i="10"/>
  <c r="J13" i="10" s="1"/>
  <c r="I12" i="10"/>
  <c r="J12" i="10" s="1"/>
  <c r="C11" i="10"/>
  <c r="I11" i="10" s="1"/>
  <c r="J11" i="10" s="1"/>
  <c r="I10" i="10"/>
  <c r="J10" i="10" s="1"/>
  <c r="C9" i="10"/>
  <c r="I9" i="10" s="1"/>
  <c r="J9" i="10" s="1"/>
  <c r="I8" i="10"/>
  <c r="J8" i="10" s="1"/>
  <c r="C7" i="10"/>
  <c r="I6" i="10"/>
  <c r="J6" i="10" s="1"/>
  <c r="I5" i="10"/>
  <c r="J5" i="10" s="1"/>
  <c r="C14" i="10" l="1"/>
  <c r="I14" i="10"/>
  <c r="J14" i="10" s="1"/>
  <c r="I7" i="10"/>
  <c r="J7" i="10" s="1"/>
  <c r="I12" i="9"/>
  <c r="J12" i="9" s="1"/>
  <c r="H12" i="9"/>
  <c r="G12" i="9"/>
  <c r="F12" i="9"/>
  <c r="E12" i="9"/>
  <c r="D12" i="9"/>
  <c r="I11" i="9"/>
  <c r="J11" i="9" s="1"/>
  <c r="I10" i="9"/>
  <c r="J10" i="9" s="1"/>
  <c r="I9" i="9"/>
  <c r="J9" i="9" s="1"/>
  <c r="I8" i="9"/>
  <c r="J8" i="9" s="1"/>
  <c r="I7" i="9"/>
  <c r="J7" i="9" s="1"/>
  <c r="C6" i="9"/>
  <c r="C12" i="9" s="1"/>
  <c r="I5" i="9"/>
  <c r="I4" i="9"/>
  <c r="J4" i="9" s="1"/>
  <c r="J5" i="9" l="1"/>
  <c r="I6" i="9"/>
  <c r="J6" i="9" s="1"/>
  <c r="H12" i="8" l="1"/>
  <c r="G12" i="8"/>
  <c r="F12" i="8"/>
  <c r="E12" i="8"/>
  <c r="D12" i="8"/>
  <c r="C11" i="8"/>
  <c r="I11" i="8" s="1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12" i="8" l="1"/>
  <c r="J12" i="8" s="1"/>
  <c r="C12" i="8"/>
  <c r="H17" i="7"/>
  <c r="G17" i="7"/>
  <c r="F17" i="7"/>
  <c r="E17" i="7"/>
  <c r="D17" i="7"/>
  <c r="I16" i="7"/>
  <c r="J16" i="7" s="1"/>
  <c r="I15" i="7"/>
  <c r="J15" i="7" s="1"/>
  <c r="C14" i="7"/>
  <c r="I14" i="7" s="1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C7" i="7"/>
  <c r="I6" i="7"/>
  <c r="J6" i="7" s="1"/>
  <c r="I5" i="7"/>
  <c r="J5" i="7" s="1"/>
  <c r="I4" i="7"/>
  <c r="J4" i="7" s="1"/>
  <c r="C17" i="7" l="1"/>
  <c r="I7" i="7"/>
  <c r="J7" i="7" s="1"/>
  <c r="I17" i="7"/>
  <c r="J17" i="7" s="1"/>
  <c r="H17" i="6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<sst xmlns="http://schemas.openxmlformats.org/spreadsheetml/2006/main" count="864" uniqueCount="89">
  <si>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</si>
  <si>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</si>
  <si>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</si>
  <si>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</si>
  <si>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</si>
  <si>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</si>
  <si>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</si>
  <si>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</si>
  <si>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</si>
  <si>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</si>
  <si>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</si>
  <si>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</si>
  <si>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</si>
  <si>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</si>
  <si>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</si>
  <si>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</si>
  <si>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</si>
  <si>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</si>
  <si>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</si>
  <si>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</si>
  <si>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</si>
  <si>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</si>
  <si>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</si>
  <si>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</si>
  <si>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</si>
  <si>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</si>
  <si>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</si>
  <si>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</si>
  <si>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</si>
  <si>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</si>
  <si>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</si>
  <si>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</si>
  <si>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</si>
  <si>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</si>
  <si>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</si>
  <si>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</si>
  <si>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</si>
  <si>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</si>
  <si>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</si>
  <si>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</si>
  <si>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</si>
  <si>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</si>
  <si>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</si>
  <si>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</si>
  <si>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</si>
  <si>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</si>
  <si>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</si>
  <si>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</si>
  <si>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</si>
  <si>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GESTION DE PLANEACIÓN ESTRATEGICA</t>
  </si>
  <si>
    <t>DESPACHO SECRETARÍA</t>
  </si>
  <si>
    <t xml:space="preserve">GRUPO DE GESTIÓN PRETRACTUAL </t>
  </si>
  <si>
    <t>GRUPO DE GESTIÓN CONTRACTUAL</t>
  </si>
  <si>
    <t xml:space="preserve">SUBDIRECCIÓN GENERAL DE ABASTECIMIENTOS BIENES Y SERVICIOS </t>
  </si>
  <si>
    <t>CONSOLIDADO GENERAL DE LAS SOLICITUDES ALLEGADA A LA ENTIDAD - MARZO 2021</t>
  </si>
  <si>
    <t>Elaboro:</t>
  </si>
  <si>
    <t>Paula andrea Fuertes Payan</t>
  </si>
  <si>
    <t>SUBDIRECCIÓN GENERAL DE OPERACIÓN LOGÍSTICA</t>
  </si>
  <si>
    <t>CONSOLIDADO GENERAL DE LAS SOLICITUDES ALLEGADA A LA ENTIDAD - MAYO 2021</t>
  </si>
  <si>
    <t xml:space="preserve">SUBDIRECCIÓN GENERAL DE ABASTECIMIENTOS BIENES Y SERVICIOS   </t>
  </si>
  <si>
    <t>Técnico Paula andrea Fuertes Payan</t>
  </si>
  <si>
    <t>SECRETARIA GENERAL</t>
  </si>
  <si>
    <t>CLASE I</t>
  </si>
  <si>
    <t>CONSOLIDADO GENERAL DE LAS SOLICITUDES ALLEGADA A LA ENTIDAD - JULIO 2021</t>
  </si>
  <si>
    <t>NÓMINA</t>
  </si>
  <si>
    <t>CONSOLIDADO GENERAL DE LAS SOLICITUDES ALLEGADA A LA ENTIDAD -  AGOSTO 2021</t>
  </si>
  <si>
    <t>GESTION DE REDES DEVALOR</t>
  </si>
  <si>
    <t>CONSOLIDADO GENERAL DE LAS SOLICITUDES ALLEGADA A LA ENTIDAD -  SEPTIEMBRE  2021</t>
  </si>
  <si>
    <t>REDES E INFRAESTRUCTURA TECNOLOGICA</t>
  </si>
  <si>
    <t>MARKETING Y COMUNICACIONES</t>
  </si>
  <si>
    <t>GESTIÓN DOCUMENTAL</t>
  </si>
  <si>
    <t>CONSOLIDADO GENERAL DE LAS SOLICITUDES ALLEGADA A LA ENTIDAD -  NOVIEBRE  2021</t>
  </si>
  <si>
    <t>ALMACENAMIENTO Y DISTRIBUCION (CADS)</t>
  </si>
  <si>
    <t>CONSOLIDADO GENERAL DE LAS SOLICITUDES ALLEGADA A LA ENTIDAD -  ENERO  2022</t>
  </si>
  <si>
    <t>DIRECCIÓN DE INFRAESTRUCTURA</t>
  </si>
  <si>
    <t>TESORERIA</t>
  </si>
  <si>
    <t>COSTOS</t>
  </si>
  <si>
    <t>GESTIÓN NÓMINA</t>
  </si>
  <si>
    <t>CONSOLIDADO GENERAL DE LAS SOLICITUDES ALLEGADA A LA ENTIDAD -  FEBRERO 2022</t>
  </si>
  <si>
    <t>DIRECCION DE PRODUCCION            (CAFÉ-PANAD-RACI)</t>
  </si>
  <si>
    <t>CONSOLIDADO GENERAL DE LAS SOLICITUDES ALLEGADA A LA ENTIDAD -  MARZO 2022</t>
  </si>
  <si>
    <t>CONSOLIDADO GENERAL DE LAS SOLICITUDES ALLEGADA A LA ENTIDAD -  ABRIL 2022</t>
  </si>
  <si>
    <t>DESARROLLO ORGANIZACIONAL</t>
  </si>
  <si>
    <t>SALUD OCUPACIONAL Y GESTION AMBIENTAL</t>
  </si>
  <si>
    <t>CONSOLIDADO GENERAL DE LAS SOLICITUDES ALLEGADA A LA ENTIDAD -  MAYO 2022</t>
  </si>
  <si>
    <t>CONSOLIDADO GENERAL DE LAS SOLICITUDES ALLEGADA A LA ENTIDAD -  JUNIO 2022</t>
  </si>
  <si>
    <t>CONSOLIDADO GENERAL DE LAS SOLICITUDES ALLEGADA A LA ENTIDAD -  JULIO 2022</t>
  </si>
  <si>
    <t>SEGURIDAD Y SALUD EN EL TRABAJO</t>
  </si>
  <si>
    <t>CONSOLIDADO GENERAL DE LAS SOLICITUDES ALLEGADA A LA ENTIDAD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</si>
</sst>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5" borderId="0" xfId="0" applyFill="1"/>
    <xf numFmtId="2" fontId="9" fillId="5" borderId="1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right" vertical="center"/>
    </xf>
    <xf numFmtId="0" fontId="23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 x14ac:dyDescent="0.25"/>
  <cols>
    <col min="2" max="2" width="15.7109375" customWidth="1"/>
    <col min="3" max="3" width="15.85546875" customWidth="1"/>
    <col min="8" max="8" width="15.710937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 x14ac:dyDescent="0.3">
      <c r="B3" s="114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 x14ac:dyDescent="0.3">
      <c r="B4" s="115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 x14ac:dyDescent="0.3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 x14ac:dyDescent="0.3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 x14ac:dyDescent="0.3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 x14ac:dyDescent="0.3">
      <c r="B8" s="114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 x14ac:dyDescent="0.3">
      <c r="B9" s="115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 x14ac:dyDescent="0.3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46.5" thickTop="1" thickBot="1" x14ac:dyDescent="0.3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 x14ac:dyDescent="0.3">
      <c r="B12" s="114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 x14ac:dyDescent="0.3">
      <c r="B13" s="115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 x14ac:dyDescent="0.3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57.75" thickTop="1" thickBot="1" x14ac:dyDescent="0.3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 x14ac:dyDescent="0.3">
      <c r="B16" s="116" t="s">
        <v>33</v>
      </c>
      <c r="C16" s="117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 x14ac:dyDescent="0.25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workbookViewId="0">
      <selection activeCell="L9" sqref="L9"/>
    </sheetView>
  </sheetViews>
  <sheetFormatPr baseColWidth="10" defaultRowHeight="15" x14ac:dyDescent="0.25"/>
  <cols>
    <col min="1" max="1" width="17" customWidth="1"/>
    <col min="2" max="2" width="20.7109375" customWidth="1"/>
    <col min="7" max="7" width="13.7109375" customWidth="1"/>
    <col min="10" max="10" width="6" customWidth="1"/>
  </cols>
  <sheetData>
    <row r="3" spans="1:10" ht="15.75" thickBot="1" x14ac:dyDescent="0.3"/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48.75" customHeight="1" thickTop="1" thickBot="1" x14ac:dyDescent="0.3">
      <c r="A5" s="130" t="s">
        <v>10</v>
      </c>
      <c r="B5" s="64" t="s">
        <v>11</v>
      </c>
      <c r="C5" s="34">
        <v>0</v>
      </c>
      <c r="D5" s="35">
        <v>0</v>
      </c>
      <c r="E5" s="35">
        <v>0</v>
      </c>
      <c r="F5" s="35">
        <v>253</v>
      </c>
      <c r="G5" s="35">
        <v>2324</v>
      </c>
      <c r="H5" s="35">
        <v>0</v>
      </c>
      <c r="I5" s="35">
        <f t="shared" ref="I5:I13" si="0">SUM(C5:H5)</f>
        <v>2577</v>
      </c>
      <c r="J5" s="66">
        <f t="shared" ref="J5:J13" si="1">I5/2819*100</f>
        <v>91.415395530329903</v>
      </c>
    </row>
    <row r="6" spans="1:10" ht="25.5" thickTop="1" thickBot="1" x14ac:dyDescent="0.3">
      <c r="A6" s="131"/>
      <c r="B6" s="64" t="s">
        <v>12</v>
      </c>
      <c r="C6" s="34">
        <v>0</v>
      </c>
      <c r="D6" s="35">
        <v>0</v>
      </c>
      <c r="E6" s="35">
        <v>0</v>
      </c>
      <c r="F6" s="35">
        <v>22</v>
      </c>
      <c r="G6" s="35">
        <v>175</v>
      </c>
      <c r="H6" s="35">
        <v>0</v>
      </c>
      <c r="I6" s="35">
        <f t="shared" si="0"/>
        <v>197</v>
      </c>
      <c r="J6" s="66">
        <f t="shared" si="1"/>
        <v>6.9882937211777225</v>
      </c>
    </row>
    <row r="7" spans="1:10" ht="36.75" customHeight="1" thickTop="1" thickBot="1" x14ac:dyDescent="0.3">
      <c r="A7" s="65" t="s">
        <v>13</v>
      </c>
      <c r="B7" s="64" t="s">
        <v>14</v>
      </c>
      <c r="C7" s="40">
        <f>2+2+1+5+2</f>
        <v>12</v>
      </c>
      <c r="D7" s="38">
        <v>0</v>
      </c>
      <c r="E7" s="38">
        <v>0</v>
      </c>
      <c r="F7" s="38">
        <v>0</v>
      </c>
      <c r="G7" s="38">
        <v>0</v>
      </c>
      <c r="H7" s="38">
        <v>1</v>
      </c>
      <c r="I7" s="38">
        <f t="shared" si="0"/>
        <v>13</v>
      </c>
      <c r="J7" s="66">
        <f t="shared" si="1"/>
        <v>0.46115643845335225</v>
      </c>
    </row>
    <row r="8" spans="1:10" ht="16.5" thickTop="1" thickBot="1" x14ac:dyDescent="0.3">
      <c r="A8" s="130" t="s">
        <v>19</v>
      </c>
      <c r="B8" s="43" t="s">
        <v>20</v>
      </c>
      <c r="C8" s="40">
        <v>7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f t="shared" si="0"/>
        <v>7</v>
      </c>
      <c r="J8" s="66">
        <f t="shared" si="1"/>
        <v>0.24831500532103584</v>
      </c>
    </row>
    <row r="9" spans="1:10" ht="16.5" thickTop="1" thickBot="1" x14ac:dyDescent="0.3">
      <c r="A9" s="131"/>
      <c r="B9" s="43" t="s">
        <v>21</v>
      </c>
      <c r="C9" s="34">
        <f>6+4</f>
        <v>10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10</v>
      </c>
      <c r="J9" s="66">
        <f t="shared" si="1"/>
        <v>0.35473572188719404</v>
      </c>
    </row>
    <row r="10" spans="1:10" ht="16.5" thickTop="1" thickBot="1" x14ac:dyDescent="0.3">
      <c r="A10" s="65" t="s">
        <v>22</v>
      </c>
      <c r="B10" s="43" t="s">
        <v>23</v>
      </c>
      <c r="C10" s="40">
        <v>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f t="shared" si="0"/>
        <v>2</v>
      </c>
      <c r="J10" s="66">
        <f t="shared" si="1"/>
        <v>7.0947144377438806E-2</v>
      </c>
    </row>
    <row r="11" spans="1:10" ht="16.5" thickTop="1" thickBot="1" x14ac:dyDescent="0.3">
      <c r="A11" s="130" t="s">
        <v>26</v>
      </c>
      <c r="B11" s="43" t="s">
        <v>28</v>
      </c>
      <c r="C11" s="34">
        <f>5+2</f>
        <v>7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8</v>
      </c>
      <c r="J11" s="66">
        <f t="shared" si="1"/>
        <v>0.28378857750975522</v>
      </c>
    </row>
    <row r="12" spans="1:10" ht="25.5" thickTop="1" thickBot="1" x14ac:dyDescent="0.3">
      <c r="A12" s="136"/>
      <c r="B12" s="67" t="s">
        <v>27</v>
      </c>
      <c r="C12" s="40">
        <v>0</v>
      </c>
      <c r="D12" s="38">
        <v>0</v>
      </c>
      <c r="E12" s="38">
        <v>0</v>
      </c>
      <c r="F12" s="38">
        <v>1</v>
      </c>
      <c r="G12" s="38">
        <v>2</v>
      </c>
      <c r="H12" s="38">
        <v>0</v>
      </c>
      <c r="I12" s="38">
        <f t="shared" si="0"/>
        <v>3</v>
      </c>
      <c r="J12" s="66">
        <f t="shared" si="1"/>
        <v>0.1064207165661582</v>
      </c>
    </row>
    <row r="13" spans="1:10" ht="49.5" customHeight="1" thickTop="1" thickBot="1" x14ac:dyDescent="0.3">
      <c r="A13" s="43" t="s">
        <v>31</v>
      </c>
      <c r="B13" s="43" t="s">
        <v>32</v>
      </c>
      <c r="C13" s="40">
        <v>2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f t="shared" si="0"/>
        <v>2</v>
      </c>
      <c r="J13" s="66">
        <f t="shared" si="1"/>
        <v>7.0947144377438806E-2</v>
      </c>
    </row>
    <row r="14" spans="1:10" ht="16.5" thickTop="1" thickBot="1" x14ac:dyDescent="0.3">
      <c r="A14" s="132" t="s">
        <v>38</v>
      </c>
      <c r="B14" s="132"/>
      <c r="C14" s="38">
        <f t="shared" ref="C14:H14" si="2">SUM(C5:C13)</f>
        <v>40</v>
      </c>
      <c r="D14" s="38">
        <f t="shared" si="2"/>
        <v>0</v>
      </c>
      <c r="E14" s="38">
        <f t="shared" si="2"/>
        <v>1</v>
      </c>
      <c r="F14" s="38">
        <f t="shared" si="2"/>
        <v>276</v>
      </c>
      <c r="G14" s="38">
        <f t="shared" si="2"/>
        <v>2501</v>
      </c>
      <c r="H14" s="38">
        <f t="shared" si="2"/>
        <v>1</v>
      </c>
      <c r="I14" s="38">
        <f>SUM(C5:H13)</f>
        <v>2819</v>
      </c>
      <c r="J14" s="68">
        <f>I14/2819*100</f>
        <v>100</v>
      </c>
    </row>
    <row r="15" spans="1:10" ht="15.75" thickTop="1" x14ac:dyDescent="0.25"/>
  </sheetData>
  <mergeCells count="4">
    <mergeCell ref="A5:A6"/>
    <mergeCell ref="A8:A9"/>
    <mergeCell ref="A11:A12"/>
    <mergeCell ref="A14:B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workbookViewId="0">
      <selection activeCell="B17" sqref="B17:C17"/>
    </sheetView>
  </sheetViews>
  <sheetFormatPr baseColWidth="10" defaultRowHeight="15" x14ac:dyDescent="0.25"/>
  <cols>
    <col min="2" max="2" width="18.7109375" customWidth="1"/>
    <col min="3" max="3" width="20.7109375" customWidth="1"/>
    <col min="8" max="8" width="16" customWidth="1"/>
    <col min="11" max="11" width="7.85546875" customWidth="1"/>
  </cols>
  <sheetData>
    <row r="1" spans="2:11" ht="15.75" thickBot="1" x14ac:dyDescent="0.3"/>
    <row r="2" spans="2:11" ht="39.75" customHeight="1" thickTop="1" thickBot="1" x14ac:dyDescent="0.3">
      <c r="B2" s="137" t="s">
        <v>54</v>
      </c>
      <c r="C2" s="138"/>
      <c r="D2" s="138"/>
      <c r="E2" s="138"/>
      <c r="F2" s="138"/>
      <c r="G2" s="138"/>
      <c r="H2" s="138"/>
      <c r="I2" s="138"/>
      <c r="J2" s="138"/>
      <c r="K2" s="139"/>
    </row>
    <row r="3" spans="2:11" ht="27" thickTop="1" thickBot="1" x14ac:dyDescent="0.3">
      <c r="B3" s="78" t="s">
        <v>0</v>
      </c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</row>
    <row r="4" spans="2:11" ht="47.25" customHeight="1" thickTop="1" thickBot="1" x14ac:dyDescent="0.3">
      <c r="B4" s="130" t="s">
        <v>10</v>
      </c>
      <c r="C4" s="73" t="s">
        <v>11</v>
      </c>
      <c r="D4" s="34">
        <v>0</v>
      </c>
      <c r="E4" s="34">
        <v>0</v>
      </c>
      <c r="F4" s="34">
        <v>0</v>
      </c>
      <c r="G4" s="35">
        <v>207</v>
      </c>
      <c r="H4" s="35">
        <v>2541</v>
      </c>
      <c r="I4" s="35">
        <v>0</v>
      </c>
      <c r="J4" s="35">
        <f t="shared" ref="J4:J13" si="0">SUM(D4:I4)</f>
        <v>2748</v>
      </c>
      <c r="K4" s="66">
        <f t="shared" ref="K4:K13" si="1">J4/2968*100</f>
        <v>92.587601078167111</v>
      </c>
    </row>
    <row r="5" spans="2:11" ht="25.5" thickTop="1" thickBot="1" x14ac:dyDescent="0.3">
      <c r="B5" s="131"/>
      <c r="C5" s="73" t="s">
        <v>12</v>
      </c>
      <c r="D5" s="34">
        <v>0</v>
      </c>
      <c r="E5" s="34">
        <v>0</v>
      </c>
      <c r="F5" s="34">
        <v>0</v>
      </c>
      <c r="G5" s="35">
        <v>30</v>
      </c>
      <c r="H5" s="35">
        <v>146</v>
      </c>
      <c r="I5" s="35">
        <v>0</v>
      </c>
      <c r="J5" s="35">
        <f t="shared" si="0"/>
        <v>176</v>
      </c>
      <c r="K5" s="66">
        <f t="shared" si="1"/>
        <v>5.9299191374663076</v>
      </c>
    </row>
    <row r="6" spans="2:11" ht="25.5" thickTop="1" thickBot="1" x14ac:dyDescent="0.3">
      <c r="B6" s="130" t="s">
        <v>13</v>
      </c>
      <c r="C6" s="43" t="s">
        <v>36</v>
      </c>
      <c r="D6" s="34">
        <v>1</v>
      </c>
      <c r="E6" s="34">
        <v>0</v>
      </c>
      <c r="F6" s="34">
        <v>0</v>
      </c>
      <c r="G6" s="34">
        <v>0</v>
      </c>
      <c r="H6" s="34">
        <v>0</v>
      </c>
      <c r="I6" s="35">
        <v>0</v>
      </c>
      <c r="J6" s="35">
        <f t="shared" si="0"/>
        <v>1</v>
      </c>
      <c r="K6" s="66">
        <f t="shared" si="1"/>
        <v>3.3692722371967659E-2</v>
      </c>
    </row>
    <row r="7" spans="2:11" ht="25.5" thickTop="1" thickBot="1" x14ac:dyDescent="0.3">
      <c r="B7" s="131"/>
      <c r="C7" s="43" t="s">
        <v>52</v>
      </c>
      <c r="D7" s="40">
        <f>1+6</f>
        <v>7</v>
      </c>
      <c r="E7" s="38">
        <v>1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9</v>
      </c>
      <c r="K7" s="66">
        <f t="shared" si="1"/>
        <v>0.30323450134770891</v>
      </c>
    </row>
    <row r="8" spans="2:11" ht="49.5" thickTop="1" thickBot="1" x14ac:dyDescent="0.3">
      <c r="B8" s="74" t="s">
        <v>53</v>
      </c>
      <c r="C8" s="73" t="s">
        <v>16</v>
      </c>
      <c r="D8" s="40">
        <v>1</v>
      </c>
      <c r="E8" s="34">
        <v>0</v>
      </c>
      <c r="F8" s="34">
        <v>0</v>
      </c>
      <c r="G8" s="34">
        <v>0</v>
      </c>
      <c r="H8" s="34">
        <v>0</v>
      </c>
      <c r="I8" s="38">
        <v>0</v>
      </c>
      <c r="J8" s="35">
        <f t="shared" si="0"/>
        <v>1</v>
      </c>
      <c r="K8" s="66">
        <f t="shared" si="1"/>
        <v>3.3692722371967659E-2</v>
      </c>
    </row>
    <row r="9" spans="2:11" ht="25.5" thickTop="1" thickBot="1" x14ac:dyDescent="0.3">
      <c r="B9" s="74" t="s">
        <v>17</v>
      </c>
      <c r="C9" s="73" t="s">
        <v>18</v>
      </c>
      <c r="D9" s="34">
        <v>1</v>
      </c>
      <c r="E9" s="34">
        <v>0</v>
      </c>
      <c r="F9" s="34">
        <v>0</v>
      </c>
      <c r="G9" s="34">
        <v>0</v>
      </c>
      <c r="H9" s="35">
        <v>1</v>
      </c>
      <c r="I9" s="38">
        <v>0</v>
      </c>
      <c r="J9" s="35">
        <f t="shared" si="0"/>
        <v>2</v>
      </c>
      <c r="K9" s="66">
        <f t="shared" si="1"/>
        <v>6.7385444743935319E-2</v>
      </c>
    </row>
    <row r="10" spans="2:11" ht="16.5" thickTop="1" thickBot="1" x14ac:dyDescent="0.3">
      <c r="B10" s="130" t="s">
        <v>19</v>
      </c>
      <c r="C10" s="43" t="s">
        <v>20</v>
      </c>
      <c r="D10" s="40">
        <v>9</v>
      </c>
      <c r="E10" s="34">
        <v>0</v>
      </c>
      <c r="F10" s="34">
        <v>0</v>
      </c>
      <c r="G10" s="34">
        <v>0</v>
      </c>
      <c r="H10" s="38">
        <v>0</v>
      </c>
      <c r="I10" s="38">
        <v>0</v>
      </c>
      <c r="J10" s="38">
        <f t="shared" si="0"/>
        <v>9</v>
      </c>
      <c r="K10" s="66">
        <f t="shared" si="1"/>
        <v>0.30323450134770891</v>
      </c>
    </row>
    <row r="11" spans="2:11" ht="16.5" thickTop="1" thickBot="1" x14ac:dyDescent="0.3">
      <c r="B11" s="131"/>
      <c r="C11" s="43" t="s">
        <v>21</v>
      </c>
      <c r="D11" s="34">
        <f>6+3</f>
        <v>9</v>
      </c>
      <c r="E11" s="34">
        <v>0</v>
      </c>
      <c r="F11" s="34">
        <v>0</v>
      </c>
      <c r="G11" s="34">
        <v>0</v>
      </c>
      <c r="H11" s="35">
        <v>0</v>
      </c>
      <c r="I11" s="38">
        <v>0</v>
      </c>
      <c r="J11" s="38">
        <f t="shared" si="0"/>
        <v>9</v>
      </c>
      <c r="K11" s="66">
        <f t="shared" si="1"/>
        <v>0.30323450134770891</v>
      </c>
    </row>
    <row r="12" spans="2:11" ht="16.5" thickTop="1" thickBot="1" x14ac:dyDescent="0.3">
      <c r="B12" s="74" t="s">
        <v>22</v>
      </c>
      <c r="C12" s="43" t="s">
        <v>23</v>
      </c>
      <c r="D12" s="40">
        <v>1</v>
      </c>
      <c r="E12" s="34">
        <v>0</v>
      </c>
      <c r="F12" s="34">
        <v>0</v>
      </c>
      <c r="G12" s="34">
        <v>0</v>
      </c>
      <c r="H12" s="38">
        <v>0</v>
      </c>
      <c r="I12" s="38">
        <v>0</v>
      </c>
      <c r="J12" s="38">
        <f t="shared" si="0"/>
        <v>1</v>
      </c>
      <c r="K12" s="66">
        <f t="shared" si="1"/>
        <v>3.3692722371967659E-2</v>
      </c>
    </row>
    <row r="13" spans="2:11" ht="37.5" thickTop="1" thickBot="1" x14ac:dyDescent="0.3">
      <c r="B13" s="74" t="s">
        <v>26</v>
      </c>
      <c r="C13" s="43" t="s">
        <v>28</v>
      </c>
      <c r="D13" s="34">
        <f>9+1</f>
        <v>10</v>
      </c>
      <c r="E13" s="38">
        <v>1</v>
      </c>
      <c r="F13" s="34">
        <v>0</v>
      </c>
      <c r="G13" s="38">
        <v>1</v>
      </c>
      <c r="H13" s="38">
        <v>0</v>
      </c>
      <c r="I13" s="38">
        <v>0</v>
      </c>
      <c r="J13" s="38">
        <f t="shared" si="0"/>
        <v>12</v>
      </c>
      <c r="K13" s="66">
        <f t="shared" si="1"/>
        <v>0.40431266846361186</v>
      </c>
    </row>
    <row r="14" spans="2:11" ht="16.5" thickTop="1" thickBot="1" x14ac:dyDescent="0.3">
      <c r="B14" s="132" t="s">
        <v>38</v>
      </c>
      <c r="C14" s="132"/>
      <c r="D14" s="38">
        <f t="shared" ref="D14:I14" si="2">SUM(D4:D13)</f>
        <v>39</v>
      </c>
      <c r="E14" s="38">
        <f t="shared" si="2"/>
        <v>2</v>
      </c>
      <c r="F14" s="38">
        <f t="shared" si="2"/>
        <v>0</v>
      </c>
      <c r="G14" s="38">
        <f t="shared" si="2"/>
        <v>238</v>
      </c>
      <c r="H14" s="38">
        <f t="shared" si="2"/>
        <v>2688</v>
      </c>
      <c r="I14" s="38">
        <f t="shared" si="2"/>
        <v>1</v>
      </c>
      <c r="J14" s="38">
        <f>SUM(D4:I13)</f>
        <v>2968</v>
      </c>
      <c r="K14" s="68">
        <f>J14/2968*100</f>
        <v>100</v>
      </c>
    </row>
    <row r="15" spans="2:11" ht="15.75" thickTop="1" x14ac:dyDescent="0.25"/>
    <row r="17" spans="2:3" x14ac:dyDescent="0.25">
      <c r="B17" s="77" t="s">
        <v>55</v>
      </c>
      <c r="C17" s="77" t="s">
        <v>56</v>
      </c>
    </row>
  </sheetData>
  <mergeCells count="5">
    <mergeCell ref="B4:B5"/>
    <mergeCell ref="B6:B7"/>
    <mergeCell ref="B10:B11"/>
    <mergeCell ref="B14:C14"/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workbookViewId="0">
      <selection activeCell="C22" sqref="C22"/>
    </sheetView>
  </sheetViews>
  <sheetFormatPr baseColWidth="10" defaultRowHeight="15" x14ac:dyDescent="0.25"/>
  <cols>
    <col min="2" max="2" width="31.42578125" customWidth="1"/>
    <col min="3" max="3" width="28.7109375" customWidth="1"/>
    <col min="8" max="8" width="14.42578125" customWidth="1"/>
  </cols>
  <sheetData>
    <row r="4" spans="2:11" ht="15.75" thickBot="1" x14ac:dyDescent="0.3"/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16.5" thickTop="1" thickBot="1" x14ac:dyDescent="0.3">
      <c r="B6" s="75" t="s">
        <v>34</v>
      </c>
      <c r="C6" s="75" t="s">
        <v>35</v>
      </c>
      <c r="D6" s="82">
        <v>0</v>
      </c>
      <c r="E6" s="82">
        <v>0</v>
      </c>
      <c r="F6" s="82">
        <v>0</v>
      </c>
      <c r="G6" s="82">
        <v>0</v>
      </c>
      <c r="H6" s="38">
        <v>1</v>
      </c>
      <c r="I6" s="82">
        <v>0</v>
      </c>
      <c r="J6" s="35">
        <f t="shared" ref="J6:J18" si="0">SUM(D6:I6)</f>
        <v>1</v>
      </c>
      <c r="K6" s="66">
        <f t="shared" ref="K6:K18" si="1">J6/2509*100</f>
        <v>3.9856516540454363E-2</v>
      </c>
    </row>
    <row r="7" spans="2:11" ht="16.5" thickTop="1" thickBot="1" x14ac:dyDescent="0.3">
      <c r="B7" s="130" t="s">
        <v>10</v>
      </c>
      <c r="C7" s="43" t="s">
        <v>35</v>
      </c>
      <c r="D7" s="82">
        <v>0</v>
      </c>
      <c r="E7" s="82">
        <v>2</v>
      </c>
      <c r="F7" s="82">
        <v>0</v>
      </c>
      <c r="G7" s="82">
        <v>0</v>
      </c>
      <c r="H7" s="38">
        <v>0</v>
      </c>
      <c r="I7" s="82">
        <v>0</v>
      </c>
      <c r="J7" s="35">
        <f t="shared" si="0"/>
        <v>2</v>
      </c>
      <c r="K7" s="66">
        <f t="shared" si="1"/>
        <v>7.9713033080908727E-2</v>
      </c>
    </row>
    <row r="8" spans="2:11" ht="25.5" thickTop="1" thickBot="1" x14ac:dyDescent="0.3">
      <c r="B8" s="136"/>
      <c r="C8" s="75" t="s">
        <v>11</v>
      </c>
      <c r="D8" s="82">
        <v>0</v>
      </c>
      <c r="E8" s="82">
        <v>0</v>
      </c>
      <c r="F8" s="35">
        <v>1</v>
      </c>
      <c r="G8" s="35">
        <v>155</v>
      </c>
      <c r="H8" s="35">
        <v>2117</v>
      </c>
      <c r="I8" s="35">
        <v>0</v>
      </c>
      <c r="J8" s="35">
        <f t="shared" si="0"/>
        <v>2273</v>
      </c>
      <c r="K8" s="66">
        <f t="shared" si="1"/>
        <v>90.593862096452767</v>
      </c>
    </row>
    <row r="9" spans="2:11" ht="16.5" thickTop="1" thickBot="1" x14ac:dyDescent="0.3">
      <c r="B9" s="131"/>
      <c r="C9" s="75" t="s">
        <v>12</v>
      </c>
      <c r="D9" s="82">
        <v>0</v>
      </c>
      <c r="E9" s="82">
        <v>0</v>
      </c>
      <c r="F9" s="35">
        <v>0</v>
      </c>
      <c r="G9" s="35">
        <v>22</v>
      </c>
      <c r="H9" s="35">
        <v>153</v>
      </c>
      <c r="I9" s="35">
        <v>0</v>
      </c>
      <c r="J9" s="35">
        <f t="shared" si="0"/>
        <v>175</v>
      </c>
      <c r="K9" s="66">
        <f t="shared" si="1"/>
        <v>6.9748903945795142</v>
      </c>
    </row>
    <row r="10" spans="2:11" ht="25.5" thickTop="1" thickBot="1" x14ac:dyDescent="0.3">
      <c r="B10" s="81" t="s">
        <v>13</v>
      </c>
      <c r="C10" s="43" t="s">
        <v>36</v>
      </c>
      <c r="D10" s="40">
        <f>1+1+1+3</f>
        <v>6</v>
      </c>
      <c r="E10" s="82">
        <v>0</v>
      </c>
      <c r="F10" s="82">
        <v>0</v>
      </c>
      <c r="G10" s="82">
        <v>0</v>
      </c>
      <c r="H10" s="82">
        <v>0</v>
      </c>
      <c r="I10" s="38">
        <v>1</v>
      </c>
      <c r="J10" s="35">
        <f t="shared" si="0"/>
        <v>7</v>
      </c>
      <c r="K10" s="66">
        <f t="shared" si="1"/>
        <v>0.27899561578318055</v>
      </c>
    </row>
    <row r="11" spans="2:11" ht="75" customHeight="1" thickTop="1" thickBot="1" x14ac:dyDescent="0.3">
      <c r="B11" s="76" t="s">
        <v>53</v>
      </c>
      <c r="C11" s="75" t="s">
        <v>16</v>
      </c>
      <c r="D11" s="40">
        <v>2</v>
      </c>
      <c r="E11" s="38">
        <v>1</v>
      </c>
      <c r="F11" s="35">
        <v>0</v>
      </c>
      <c r="G11" s="35">
        <v>0</v>
      </c>
      <c r="H11" s="35">
        <v>0</v>
      </c>
      <c r="I11" s="35">
        <v>0</v>
      </c>
      <c r="J11" s="35">
        <f t="shared" si="0"/>
        <v>3</v>
      </c>
      <c r="K11" s="66">
        <f t="shared" si="1"/>
        <v>0.11956954962136308</v>
      </c>
    </row>
    <row r="12" spans="2:11" ht="25.5" thickTop="1" thickBot="1" x14ac:dyDescent="0.3">
      <c r="B12" s="76" t="s">
        <v>17</v>
      </c>
      <c r="C12" s="75" t="s">
        <v>18</v>
      </c>
      <c r="D12" s="34">
        <v>0</v>
      </c>
      <c r="E12" s="35">
        <v>0</v>
      </c>
      <c r="F12" s="35">
        <v>0</v>
      </c>
      <c r="G12" s="35">
        <v>0</v>
      </c>
      <c r="H12" s="35">
        <v>2</v>
      </c>
      <c r="I12" s="35">
        <v>0</v>
      </c>
      <c r="J12" s="35">
        <f t="shared" si="0"/>
        <v>2</v>
      </c>
      <c r="K12" s="66">
        <f t="shared" si="1"/>
        <v>7.9713033080908727E-2</v>
      </c>
    </row>
    <row r="13" spans="2:11" ht="16.5" thickTop="1" thickBot="1" x14ac:dyDescent="0.3">
      <c r="B13" s="130" t="s">
        <v>19</v>
      </c>
      <c r="C13" s="43" t="s">
        <v>20</v>
      </c>
      <c r="D13" s="40">
        <v>15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8">
        <f t="shared" si="0"/>
        <v>15</v>
      </c>
      <c r="K13" s="66">
        <f t="shared" si="1"/>
        <v>0.5978477481068154</v>
      </c>
    </row>
    <row r="14" spans="2:11" ht="16.5" thickTop="1" thickBot="1" x14ac:dyDescent="0.3">
      <c r="B14" s="131"/>
      <c r="C14" s="43" t="s">
        <v>21</v>
      </c>
      <c r="D14" s="34">
        <f>12+2+1+1+1</f>
        <v>17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8">
        <f t="shared" si="0"/>
        <v>17</v>
      </c>
      <c r="K14" s="66">
        <f t="shared" si="1"/>
        <v>0.67756078118772423</v>
      </c>
    </row>
    <row r="15" spans="2:11" ht="16.5" thickTop="1" thickBot="1" x14ac:dyDescent="0.3">
      <c r="B15" s="76" t="s">
        <v>22</v>
      </c>
      <c r="C15" s="43" t="s">
        <v>23</v>
      </c>
      <c r="D15" s="40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8">
        <f t="shared" si="0"/>
        <v>1</v>
      </c>
      <c r="K15" s="66">
        <f t="shared" si="1"/>
        <v>3.9856516540454363E-2</v>
      </c>
    </row>
    <row r="16" spans="2:11" ht="16.5" thickTop="1" thickBot="1" x14ac:dyDescent="0.3">
      <c r="B16" s="130" t="s">
        <v>26</v>
      </c>
      <c r="C16" s="43" t="s">
        <v>27</v>
      </c>
      <c r="D16" s="34">
        <v>0</v>
      </c>
      <c r="E16" s="35">
        <v>0</v>
      </c>
      <c r="F16" s="35">
        <v>0</v>
      </c>
      <c r="G16" s="35">
        <v>0</v>
      </c>
      <c r="H16" s="38">
        <v>1</v>
      </c>
      <c r="I16" s="38">
        <v>0</v>
      </c>
      <c r="J16" s="38">
        <f t="shared" si="0"/>
        <v>1</v>
      </c>
      <c r="K16" s="66">
        <f t="shared" si="1"/>
        <v>3.9856516540454363E-2</v>
      </c>
    </row>
    <row r="17" spans="2:11" ht="16.5" thickTop="1" thickBot="1" x14ac:dyDescent="0.3">
      <c r="B17" s="131"/>
      <c r="C17" s="43" t="s">
        <v>28</v>
      </c>
      <c r="D17" s="34">
        <v>10</v>
      </c>
      <c r="E17" s="38">
        <v>1</v>
      </c>
      <c r="F17" s="35">
        <v>0</v>
      </c>
      <c r="G17" s="35">
        <v>0</v>
      </c>
      <c r="H17" s="35">
        <v>0</v>
      </c>
      <c r="I17" s="35">
        <v>0</v>
      </c>
      <c r="J17" s="38">
        <f t="shared" si="0"/>
        <v>11</v>
      </c>
      <c r="K17" s="66">
        <f t="shared" si="1"/>
        <v>0.43842168194499798</v>
      </c>
    </row>
    <row r="18" spans="2:11" ht="54.75" customHeight="1" thickTop="1" thickBot="1" x14ac:dyDescent="0.3">
      <c r="B18" s="43" t="s">
        <v>31</v>
      </c>
      <c r="C18" s="43" t="s">
        <v>32</v>
      </c>
      <c r="D18" s="40">
        <v>1</v>
      </c>
      <c r="E18" s="38">
        <v>0</v>
      </c>
      <c r="F18" s="35">
        <v>0</v>
      </c>
      <c r="G18" s="35">
        <v>0</v>
      </c>
      <c r="H18" s="35">
        <v>0</v>
      </c>
      <c r="I18" s="35">
        <v>0</v>
      </c>
      <c r="J18" s="38">
        <f t="shared" si="0"/>
        <v>1</v>
      </c>
      <c r="K18" s="66">
        <f t="shared" si="1"/>
        <v>3.9856516540454363E-2</v>
      </c>
    </row>
    <row r="19" spans="2:11" ht="16.5" thickTop="1" thickBot="1" x14ac:dyDescent="0.3">
      <c r="B19" s="132" t="s">
        <v>38</v>
      </c>
      <c r="C19" s="132"/>
      <c r="D19" s="38">
        <f t="shared" ref="D19:I19" si="2">SUM(D6:D18)</f>
        <v>52</v>
      </c>
      <c r="E19" s="38">
        <f t="shared" si="2"/>
        <v>4</v>
      </c>
      <c r="F19" s="38">
        <f t="shared" si="2"/>
        <v>1</v>
      </c>
      <c r="G19" s="38">
        <f t="shared" si="2"/>
        <v>177</v>
      </c>
      <c r="H19" s="38">
        <f t="shared" si="2"/>
        <v>2274</v>
      </c>
      <c r="I19" s="38">
        <f t="shared" si="2"/>
        <v>1</v>
      </c>
      <c r="J19" s="38">
        <f>SUM(D6:I18)</f>
        <v>2509</v>
      </c>
      <c r="K19" s="68">
        <f>J19/2509*100</f>
        <v>100</v>
      </c>
    </row>
    <row r="20" spans="2:11" ht="15.75" thickTop="1" x14ac:dyDescent="0.25"/>
  </sheetData>
  <mergeCells count="4">
    <mergeCell ref="B7:B9"/>
    <mergeCell ref="B13:B14"/>
    <mergeCell ref="B16:B17"/>
    <mergeCell ref="B19:C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workbookViewId="0">
      <selection activeCell="B4" sqref="B4:K4"/>
    </sheetView>
  </sheetViews>
  <sheetFormatPr baseColWidth="10" defaultRowHeight="15" x14ac:dyDescent="0.25"/>
  <cols>
    <col min="2" max="2" width="16.42578125" customWidth="1"/>
    <col min="3" max="3" width="18.28515625" customWidth="1"/>
    <col min="8" max="8" width="13.28515625" customWidth="1"/>
    <col min="11" max="11" width="6.28515625" customWidth="1"/>
  </cols>
  <sheetData>
    <row r="3" spans="2:11" ht="15.75" thickBot="1" x14ac:dyDescent="0.3"/>
    <row r="4" spans="2:11" ht="16.5" thickTop="1" thickBot="1" x14ac:dyDescent="0.3">
      <c r="B4" s="137" t="s">
        <v>58</v>
      </c>
      <c r="C4" s="138"/>
      <c r="D4" s="138"/>
      <c r="E4" s="138"/>
      <c r="F4" s="138"/>
      <c r="G4" s="138"/>
      <c r="H4" s="138"/>
      <c r="I4" s="138"/>
      <c r="J4" s="138"/>
      <c r="K4" s="139"/>
    </row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38.25" customHeight="1" thickTop="1" thickBot="1" x14ac:dyDescent="0.3">
      <c r="B6" s="136" t="s">
        <v>57</v>
      </c>
      <c r="C6" s="79" t="s">
        <v>11</v>
      </c>
      <c r="D6" s="34">
        <v>0</v>
      </c>
      <c r="E6" s="34">
        <v>0</v>
      </c>
      <c r="F6" s="34">
        <v>0</v>
      </c>
      <c r="G6" s="35">
        <v>215</v>
      </c>
      <c r="H6" s="35">
        <v>2343</v>
      </c>
      <c r="I6" s="35">
        <v>0</v>
      </c>
      <c r="J6" s="35">
        <f t="shared" ref="J6:J12" si="0">SUM(D6:I6)</f>
        <v>2558</v>
      </c>
      <c r="K6" s="66">
        <f t="shared" ref="K6:K12" si="1">J6/2790*100</f>
        <v>91.68458781362007</v>
      </c>
    </row>
    <row r="7" spans="2:11" ht="25.5" customHeight="1" thickTop="1" thickBot="1" x14ac:dyDescent="0.3">
      <c r="B7" s="131"/>
      <c r="C7" s="79" t="s">
        <v>12</v>
      </c>
      <c r="D7" s="34">
        <v>0</v>
      </c>
      <c r="E7" s="34">
        <v>0</v>
      </c>
      <c r="F7" s="34">
        <v>0</v>
      </c>
      <c r="G7" s="35">
        <v>20</v>
      </c>
      <c r="H7" s="35">
        <v>180</v>
      </c>
      <c r="I7" s="35">
        <v>0</v>
      </c>
      <c r="J7" s="35">
        <f t="shared" si="0"/>
        <v>200</v>
      </c>
      <c r="K7" s="66">
        <f t="shared" si="1"/>
        <v>7.1684587813620064</v>
      </c>
    </row>
    <row r="8" spans="2:11" ht="37.5" thickTop="1" thickBot="1" x14ac:dyDescent="0.3">
      <c r="B8" s="80" t="s">
        <v>13</v>
      </c>
      <c r="C8" s="43" t="s">
        <v>14</v>
      </c>
      <c r="D8" s="40">
        <f>2+3+1</f>
        <v>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5">
        <f t="shared" si="0"/>
        <v>6</v>
      </c>
      <c r="K8" s="66">
        <f t="shared" si="1"/>
        <v>0.21505376344086022</v>
      </c>
    </row>
    <row r="9" spans="2:11" ht="16.5" thickTop="1" thickBot="1" x14ac:dyDescent="0.3">
      <c r="B9" s="130" t="s">
        <v>19</v>
      </c>
      <c r="C9" s="43" t="s">
        <v>20</v>
      </c>
      <c r="D9" s="40">
        <v>8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8">
        <f t="shared" si="0"/>
        <v>8</v>
      </c>
      <c r="K9" s="66">
        <f t="shared" si="1"/>
        <v>0.28673835125448027</v>
      </c>
    </row>
    <row r="10" spans="2:11" ht="16.5" thickTop="1" thickBot="1" x14ac:dyDescent="0.3">
      <c r="B10" s="131"/>
      <c r="C10" s="43" t="s">
        <v>21</v>
      </c>
      <c r="D10" s="34">
        <f>5+1+4</f>
        <v>10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8">
        <f t="shared" si="0"/>
        <v>10</v>
      </c>
      <c r="K10" s="66">
        <f t="shared" si="1"/>
        <v>0.35842293906810035</v>
      </c>
    </row>
    <row r="11" spans="2:11" ht="16.5" thickTop="1" thickBot="1" x14ac:dyDescent="0.3">
      <c r="B11" s="80" t="s">
        <v>22</v>
      </c>
      <c r="C11" s="43" t="s">
        <v>23</v>
      </c>
      <c r="D11" s="40">
        <v>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8">
        <f t="shared" si="0"/>
        <v>2</v>
      </c>
      <c r="K11" s="66">
        <f t="shared" si="1"/>
        <v>7.1684587813620068E-2</v>
      </c>
    </row>
    <row r="12" spans="2:11" ht="49.5" thickTop="1" thickBot="1" x14ac:dyDescent="0.3">
      <c r="B12" s="80" t="s">
        <v>26</v>
      </c>
      <c r="C12" s="43" t="s">
        <v>28</v>
      </c>
      <c r="D12" s="34">
        <f>4+2</f>
        <v>6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8">
        <f t="shared" si="0"/>
        <v>6</v>
      </c>
      <c r="K12" s="66">
        <f t="shared" si="1"/>
        <v>0.21505376344086022</v>
      </c>
    </row>
    <row r="13" spans="2:11" ht="16.5" thickTop="1" thickBot="1" x14ac:dyDescent="0.3">
      <c r="B13" s="132" t="s">
        <v>38</v>
      </c>
      <c r="C13" s="132"/>
      <c r="D13" s="38">
        <f t="shared" ref="D13:I13" si="2">SUM(D6:D12)</f>
        <v>32</v>
      </c>
      <c r="E13" s="38">
        <f t="shared" si="2"/>
        <v>0</v>
      </c>
      <c r="F13" s="38">
        <f t="shared" si="2"/>
        <v>0</v>
      </c>
      <c r="G13" s="38">
        <f t="shared" si="2"/>
        <v>235</v>
      </c>
      <c r="H13" s="38">
        <f t="shared" si="2"/>
        <v>2523</v>
      </c>
      <c r="I13" s="38">
        <f t="shared" si="2"/>
        <v>0</v>
      </c>
      <c r="J13" s="38">
        <f>SUM(D6:I12)</f>
        <v>2790</v>
      </c>
      <c r="K13" s="68">
        <f>J13/2790*100</f>
        <v>100</v>
      </c>
    </row>
    <row r="14" spans="2:11" ht="15.75" thickTop="1" x14ac:dyDescent="0.25"/>
    <row r="16" spans="2:11" x14ac:dyDescent="0.25">
      <c r="B16" s="77" t="s">
        <v>55</v>
      </c>
      <c r="C16" s="77" t="s">
        <v>56</v>
      </c>
    </row>
  </sheetData>
  <mergeCells count="4">
    <mergeCell ref="B6:B7"/>
    <mergeCell ref="B9:B10"/>
    <mergeCell ref="B13:C13"/>
    <mergeCell ref="B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B18" sqref="B18:C18"/>
    </sheetView>
  </sheetViews>
  <sheetFormatPr baseColWidth="10" defaultRowHeight="15" x14ac:dyDescent="0.25"/>
  <cols>
    <col min="2" max="2" width="19.7109375" customWidth="1"/>
    <col min="3" max="3" width="23" customWidth="1"/>
    <col min="7" max="7" width="12.42578125" customWidth="1"/>
    <col min="8" max="8" width="14" customWidth="1"/>
    <col min="11" max="11" width="8.5703125" customWidth="1"/>
  </cols>
  <sheetData>
    <row r="3" spans="2:11" ht="15.75" thickBot="1" x14ac:dyDescent="0.3"/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36" t="s">
        <v>57</v>
      </c>
      <c r="C5" s="83" t="s">
        <v>11</v>
      </c>
      <c r="D5" s="34">
        <v>0</v>
      </c>
      <c r="E5" s="34">
        <v>0</v>
      </c>
      <c r="F5" s="34">
        <v>0</v>
      </c>
      <c r="G5" s="35">
        <v>235</v>
      </c>
      <c r="H5" s="35">
        <v>2688</v>
      </c>
      <c r="I5" s="35">
        <v>0</v>
      </c>
      <c r="J5" s="35">
        <f t="shared" ref="J5:J14" si="0">SUM(D5:I5)</f>
        <v>2923</v>
      </c>
      <c r="K5" s="66">
        <f t="shared" ref="K5:K14" si="1">J5/3181*100</f>
        <v>91.889342973907574</v>
      </c>
    </row>
    <row r="6" spans="2:11" ht="25.5" thickTop="1" thickBot="1" x14ac:dyDescent="0.3">
      <c r="B6" s="131"/>
      <c r="C6" s="83" t="s">
        <v>12</v>
      </c>
      <c r="D6" s="34">
        <v>0</v>
      </c>
      <c r="E6" s="34">
        <v>0</v>
      </c>
      <c r="F6" s="34">
        <v>0</v>
      </c>
      <c r="G6" s="35">
        <v>23</v>
      </c>
      <c r="H6" s="35">
        <v>183</v>
      </c>
      <c r="I6" s="35">
        <v>0</v>
      </c>
      <c r="J6" s="35">
        <f t="shared" si="0"/>
        <v>206</v>
      </c>
      <c r="K6" s="66">
        <f t="shared" si="1"/>
        <v>6.4759509588179816</v>
      </c>
    </row>
    <row r="7" spans="2:11" ht="16.5" thickTop="1" thickBot="1" x14ac:dyDescent="0.3">
      <c r="B7" s="130" t="s">
        <v>17</v>
      </c>
      <c r="C7" s="43" t="s">
        <v>50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1</v>
      </c>
      <c r="K7" s="66">
        <f t="shared" si="1"/>
        <v>3.1436655139893112E-2</v>
      </c>
    </row>
    <row r="8" spans="2:11" ht="25.5" thickTop="1" thickBot="1" x14ac:dyDescent="0.3">
      <c r="B8" s="131"/>
      <c r="C8" s="43" t="s">
        <v>18</v>
      </c>
      <c r="D8" s="34">
        <v>0</v>
      </c>
      <c r="E8" s="34">
        <v>0</v>
      </c>
      <c r="F8" s="34">
        <v>0</v>
      </c>
      <c r="G8" s="34">
        <v>0</v>
      </c>
      <c r="H8" s="38">
        <v>3</v>
      </c>
      <c r="I8" s="38">
        <v>0</v>
      </c>
      <c r="J8" s="35">
        <f t="shared" si="0"/>
        <v>3</v>
      </c>
      <c r="K8" s="66">
        <f t="shared" si="1"/>
        <v>9.4309965419679356E-2</v>
      </c>
    </row>
    <row r="9" spans="2:11" ht="49.5" thickTop="1" thickBot="1" x14ac:dyDescent="0.3">
      <c r="B9" s="85" t="s">
        <v>59</v>
      </c>
      <c r="C9" s="43" t="s">
        <v>16</v>
      </c>
      <c r="D9" s="40">
        <v>1</v>
      </c>
      <c r="E9" s="34">
        <v>0</v>
      </c>
      <c r="F9" s="34">
        <v>0</v>
      </c>
      <c r="G9" s="34">
        <v>0</v>
      </c>
      <c r="H9" s="34">
        <v>0</v>
      </c>
      <c r="I9" s="38">
        <v>0</v>
      </c>
      <c r="J9" s="35">
        <f t="shared" si="0"/>
        <v>1</v>
      </c>
      <c r="K9" s="66">
        <f t="shared" si="1"/>
        <v>3.1436655139893112E-2</v>
      </c>
    </row>
    <row r="10" spans="2:11" ht="25.5" thickTop="1" thickBot="1" x14ac:dyDescent="0.3">
      <c r="B10" s="130" t="s">
        <v>13</v>
      </c>
      <c r="C10" s="43" t="s">
        <v>36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8">
        <v>1</v>
      </c>
      <c r="J10" s="35">
        <f t="shared" si="0"/>
        <v>1</v>
      </c>
      <c r="K10" s="66">
        <f t="shared" si="1"/>
        <v>3.1436655139893112E-2</v>
      </c>
    </row>
    <row r="11" spans="2:11" ht="25.5" thickTop="1" thickBot="1" x14ac:dyDescent="0.3">
      <c r="B11" s="131"/>
      <c r="C11" s="43" t="s">
        <v>14</v>
      </c>
      <c r="D11" s="40">
        <f>1+3+5</f>
        <v>9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5">
        <f t="shared" si="0"/>
        <v>9</v>
      </c>
      <c r="K11" s="66">
        <f t="shared" si="1"/>
        <v>0.28292989625903803</v>
      </c>
    </row>
    <row r="12" spans="2:11" ht="16.5" thickTop="1" thickBot="1" x14ac:dyDescent="0.3">
      <c r="B12" s="130" t="s">
        <v>19</v>
      </c>
      <c r="C12" s="43" t="s">
        <v>20</v>
      </c>
      <c r="D12" s="40">
        <v>19</v>
      </c>
      <c r="E12" s="38">
        <v>0</v>
      </c>
      <c r="F12" s="38">
        <v>1</v>
      </c>
      <c r="G12" s="34">
        <v>0</v>
      </c>
      <c r="H12" s="34">
        <v>0</v>
      </c>
      <c r="I12" s="34">
        <v>0</v>
      </c>
      <c r="J12" s="38">
        <f t="shared" si="0"/>
        <v>20</v>
      </c>
      <c r="K12" s="66">
        <f t="shared" si="1"/>
        <v>0.62873310279786232</v>
      </c>
    </row>
    <row r="13" spans="2:11" ht="16.5" thickTop="1" thickBot="1" x14ac:dyDescent="0.3">
      <c r="B13" s="131"/>
      <c r="C13" s="43" t="s">
        <v>21</v>
      </c>
      <c r="D13" s="34">
        <f>5+1+2+1</f>
        <v>9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9</v>
      </c>
      <c r="K13" s="66">
        <f t="shared" si="1"/>
        <v>0.28292989625903803</v>
      </c>
    </row>
    <row r="14" spans="2:11" ht="37.5" thickTop="1" thickBot="1" x14ac:dyDescent="0.3">
      <c r="B14" s="84" t="s">
        <v>26</v>
      </c>
      <c r="C14" s="43" t="s">
        <v>28</v>
      </c>
      <c r="D14" s="34">
        <f>6+1</f>
        <v>7</v>
      </c>
      <c r="E14" s="38">
        <v>0</v>
      </c>
      <c r="F14" s="38">
        <v>0</v>
      </c>
      <c r="G14" s="38">
        <v>0</v>
      </c>
      <c r="H14" s="38">
        <v>0</v>
      </c>
      <c r="I14" s="38">
        <v>1</v>
      </c>
      <c r="J14" s="38">
        <f t="shared" si="0"/>
        <v>8</v>
      </c>
      <c r="K14" s="66">
        <f t="shared" si="1"/>
        <v>0.25149324111914489</v>
      </c>
    </row>
    <row r="15" spans="2:11" ht="16.5" thickTop="1" thickBot="1" x14ac:dyDescent="0.3">
      <c r="B15" s="132" t="s">
        <v>38</v>
      </c>
      <c r="C15" s="132"/>
      <c r="D15" s="38">
        <f t="shared" ref="D15:I15" si="2">SUM(D5:D14)</f>
        <v>45</v>
      </c>
      <c r="E15" s="38">
        <f t="shared" si="2"/>
        <v>0</v>
      </c>
      <c r="F15" s="38">
        <f t="shared" si="2"/>
        <v>1</v>
      </c>
      <c r="G15" s="38">
        <f t="shared" si="2"/>
        <v>258</v>
      </c>
      <c r="H15" s="38">
        <f t="shared" si="2"/>
        <v>2874</v>
      </c>
      <c r="I15" s="38">
        <f t="shared" si="2"/>
        <v>3</v>
      </c>
      <c r="J15" s="38">
        <f>SUM(D5:I14)</f>
        <v>3181</v>
      </c>
      <c r="K15" s="68">
        <f>J15/3181*100</f>
        <v>100</v>
      </c>
    </row>
    <row r="16" spans="2:11" ht="15.75" thickTop="1" x14ac:dyDescent="0.25"/>
    <row r="18" spans="2:3" x14ac:dyDescent="0.25">
      <c r="B18" s="77" t="s">
        <v>55</v>
      </c>
      <c r="C18" s="77" t="s">
        <v>60</v>
      </c>
    </row>
  </sheetData>
  <mergeCells count="5">
    <mergeCell ref="B5:B6"/>
    <mergeCell ref="B7:B8"/>
    <mergeCell ref="B10:B11"/>
    <mergeCell ref="B12:B13"/>
    <mergeCell ref="B15:C15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>
      <selection activeCell="B3" sqref="B3:K3"/>
    </sheetView>
  </sheetViews>
  <sheetFormatPr baseColWidth="10" defaultRowHeight="15" x14ac:dyDescent="0.25"/>
  <cols>
    <col min="2" max="2" width="14.85546875" customWidth="1"/>
    <col min="3" max="3" width="18.7109375" customWidth="1"/>
    <col min="8" max="8" width="14" customWidth="1"/>
    <col min="11" max="11" width="7.5703125" customWidth="1"/>
  </cols>
  <sheetData>
    <row r="2" spans="2:11" ht="15.75" thickBot="1" x14ac:dyDescent="0.3"/>
    <row r="3" spans="2:11" ht="16.5" thickTop="1" thickBot="1" x14ac:dyDescent="0.3">
      <c r="B3" s="137" t="s">
        <v>63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29" t="s">
        <v>57</v>
      </c>
      <c r="C5" s="86" t="s">
        <v>11</v>
      </c>
      <c r="D5" s="35">
        <v>0</v>
      </c>
      <c r="E5" s="35">
        <v>0</v>
      </c>
      <c r="F5" s="35">
        <v>0</v>
      </c>
      <c r="G5" s="35">
        <v>253</v>
      </c>
      <c r="H5" s="35">
        <v>2787</v>
      </c>
      <c r="I5" s="35">
        <v>0</v>
      </c>
      <c r="J5" s="35">
        <f t="shared" ref="J5:J15" si="0">SUM(D5:I5)</f>
        <v>3040</v>
      </c>
      <c r="K5" s="66">
        <f t="shared" ref="K5:K15" si="1">J5/3424*100</f>
        <v>88.785046728971963</v>
      </c>
    </row>
    <row r="6" spans="2:11" ht="25.5" thickTop="1" thickBot="1" x14ac:dyDescent="0.3">
      <c r="B6" s="129"/>
      <c r="C6" s="86" t="s">
        <v>12</v>
      </c>
      <c r="D6" s="35">
        <v>0</v>
      </c>
      <c r="E6" s="35">
        <v>0</v>
      </c>
      <c r="F6" s="35">
        <v>0</v>
      </c>
      <c r="G6" s="35">
        <v>30</v>
      </c>
      <c r="H6" s="35">
        <v>277</v>
      </c>
      <c r="I6" s="35">
        <v>0</v>
      </c>
      <c r="J6" s="35">
        <f t="shared" si="0"/>
        <v>307</v>
      </c>
      <c r="K6" s="66">
        <f t="shared" si="1"/>
        <v>8.9661214953271031</v>
      </c>
    </row>
    <row r="7" spans="2:11" ht="37.5" thickTop="1" thickBot="1" x14ac:dyDescent="0.3">
      <c r="B7" s="86" t="s">
        <v>48</v>
      </c>
      <c r="C7" s="43" t="s">
        <v>49</v>
      </c>
      <c r="D7" s="38">
        <v>1</v>
      </c>
      <c r="E7" s="35">
        <v>0</v>
      </c>
      <c r="F7" s="35">
        <v>0</v>
      </c>
      <c r="G7" s="38">
        <v>0</v>
      </c>
      <c r="H7" s="38">
        <v>0</v>
      </c>
      <c r="I7" s="38">
        <v>0</v>
      </c>
      <c r="J7" s="35">
        <f t="shared" si="0"/>
        <v>1</v>
      </c>
      <c r="K7" s="66">
        <f t="shared" si="1"/>
        <v>2.920560747663551E-2</v>
      </c>
    </row>
    <row r="8" spans="2:11" ht="25.5" thickTop="1" thickBot="1" x14ac:dyDescent="0.3">
      <c r="B8" s="86" t="s">
        <v>61</v>
      </c>
      <c r="C8" s="43" t="s">
        <v>35</v>
      </c>
      <c r="D8" s="35">
        <v>0</v>
      </c>
      <c r="E8" s="35">
        <v>0</v>
      </c>
      <c r="F8" s="35">
        <v>0</v>
      </c>
      <c r="G8" s="35">
        <v>0</v>
      </c>
      <c r="H8" s="38">
        <v>0</v>
      </c>
      <c r="I8" s="38">
        <v>1</v>
      </c>
      <c r="J8" s="35">
        <f t="shared" si="0"/>
        <v>1</v>
      </c>
      <c r="K8" s="66">
        <f t="shared" si="1"/>
        <v>2.920560747663551E-2</v>
      </c>
    </row>
    <row r="9" spans="2:11" ht="24.75" customHeight="1" thickTop="1" thickBot="1" x14ac:dyDescent="0.3">
      <c r="B9" s="129" t="s">
        <v>59</v>
      </c>
      <c r="C9" s="43" t="s">
        <v>62</v>
      </c>
      <c r="D9" s="38">
        <v>1</v>
      </c>
      <c r="E9" s="35">
        <v>0</v>
      </c>
      <c r="F9" s="35">
        <v>0</v>
      </c>
      <c r="G9" s="38">
        <v>0</v>
      </c>
      <c r="H9" s="35">
        <v>0</v>
      </c>
      <c r="I9" s="38">
        <v>0</v>
      </c>
      <c r="J9" s="35">
        <f t="shared" si="0"/>
        <v>1</v>
      </c>
      <c r="K9" s="66">
        <f t="shared" si="1"/>
        <v>2.920560747663551E-2</v>
      </c>
    </row>
    <row r="10" spans="2:11" ht="61.5" thickTop="1" thickBot="1" x14ac:dyDescent="0.3">
      <c r="B10" s="129"/>
      <c r="C10" s="43" t="s">
        <v>16</v>
      </c>
      <c r="D10" s="38">
        <v>4</v>
      </c>
      <c r="E10" s="35">
        <v>0</v>
      </c>
      <c r="F10" s="35">
        <v>0</v>
      </c>
      <c r="G10" s="38">
        <v>0</v>
      </c>
      <c r="H10" s="38">
        <v>0</v>
      </c>
      <c r="I10" s="38">
        <v>0</v>
      </c>
      <c r="J10" s="35">
        <f t="shared" si="0"/>
        <v>4</v>
      </c>
      <c r="K10" s="66">
        <f t="shared" si="1"/>
        <v>0.11682242990654204</v>
      </c>
    </row>
    <row r="11" spans="2:11" ht="37.5" thickTop="1" thickBot="1" x14ac:dyDescent="0.3">
      <c r="B11" s="86" t="s">
        <v>13</v>
      </c>
      <c r="C11" s="43" t="s">
        <v>14</v>
      </c>
      <c r="D11" s="38">
        <f>1+1+1+1+3</f>
        <v>7</v>
      </c>
      <c r="E11" s="38">
        <v>0</v>
      </c>
      <c r="F11" s="38">
        <v>1</v>
      </c>
      <c r="G11" s="38">
        <v>0</v>
      </c>
      <c r="H11" s="38">
        <v>0</v>
      </c>
      <c r="I11" s="38">
        <v>0</v>
      </c>
      <c r="J11" s="35">
        <f t="shared" si="0"/>
        <v>8</v>
      </c>
      <c r="K11" s="66">
        <f t="shared" si="1"/>
        <v>0.23364485981308408</v>
      </c>
    </row>
    <row r="12" spans="2:11" ht="37.5" thickTop="1" thickBot="1" x14ac:dyDescent="0.3">
      <c r="B12" s="43" t="s">
        <v>24</v>
      </c>
      <c r="C12" s="43" t="s">
        <v>25</v>
      </c>
      <c r="D12" s="38">
        <v>1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5">
        <f t="shared" si="0"/>
        <v>2</v>
      </c>
      <c r="K12" s="66">
        <f t="shared" si="1"/>
        <v>5.8411214953271021E-2</v>
      </c>
    </row>
    <row r="13" spans="2:11" ht="27" customHeight="1" thickTop="1" thickBot="1" x14ac:dyDescent="0.3">
      <c r="B13" s="129" t="s">
        <v>19</v>
      </c>
      <c r="C13" s="43" t="s">
        <v>20</v>
      </c>
      <c r="D13" s="38">
        <v>40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40</v>
      </c>
      <c r="K13" s="66">
        <f t="shared" si="1"/>
        <v>1.1682242990654206</v>
      </c>
    </row>
    <row r="14" spans="2:11" ht="24.75" customHeight="1" thickTop="1" thickBot="1" x14ac:dyDescent="0.3">
      <c r="B14" s="129"/>
      <c r="C14" s="43" t="s">
        <v>21</v>
      </c>
      <c r="D14" s="35">
        <f>3+1+4</f>
        <v>8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f t="shared" si="0"/>
        <v>8</v>
      </c>
      <c r="K14" s="66">
        <f t="shared" si="1"/>
        <v>0.23364485981308408</v>
      </c>
    </row>
    <row r="15" spans="2:11" ht="49.5" thickTop="1" thickBot="1" x14ac:dyDescent="0.3">
      <c r="B15" s="86" t="s">
        <v>26</v>
      </c>
      <c r="C15" s="43" t="s">
        <v>28</v>
      </c>
      <c r="D15" s="35">
        <f>11+1</f>
        <v>12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f t="shared" si="0"/>
        <v>12</v>
      </c>
      <c r="K15" s="66">
        <f t="shared" si="1"/>
        <v>0.35046728971962615</v>
      </c>
    </row>
    <row r="16" spans="2:11" ht="16.5" thickTop="1" thickBot="1" x14ac:dyDescent="0.3">
      <c r="B16" s="132" t="s">
        <v>38</v>
      </c>
      <c r="C16" s="132"/>
      <c r="D16" s="38">
        <f t="shared" ref="D16:I16" si="2">SUM(D5:D15)</f>
        <v>74</v>
      </c>
      <c r="E16" s="38">
        <f t="shared" si="2"/>
        <v>0</v>
      </c>
      <c r="F16" s="38">
        <f t="shared" si="2"/>
        <v>1</v>
      </c>
      <c r="G16" s="38">
        <f t="shared" si="2"/>
        <v>284</v>
      </c>
      <c r="H16" s="38">
        <f t="shared" si="2"/>
        <v>3064</v>
      </c>
      <c r="I16" s="38">
        <f t="shared" si="2"/>
        <v>1</v>
      </c>
      <c r="J16" s="38">
        <f>SUM(D5:I15)</f>
        <v>3424</v>
      </c>
      <c r="K16" s="68">
        <f>J16/3424*100</f>
        <v>100</v>
      </c>
    </row>
    <row r="17" spans="2:3" ht="15.75" thickTop="1" x14ac:dyDescent="0.25"/>
    <row r="19" spans="2:3" x14ac:dyDescent="0.25">
      <c r="B19" s="77" t="s">
        <v>55</v>
      </c>
      <c r="C19" s="77" t="s">
        <v>60</v>
      </c>
    </row>
  </sheetData>
  <mergeCells count="5">
    <mergeCell ref="B5:B6"/>
    <mergeCell ref="B9:B10"/>
    <mergeCell ref="B13:B14"/>
    <mergeCell ref="B16:C16"/>
    <mergeCell ref="B3:K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opLeftCell="B1" workbookViewId="0">
      <selection activeCell="F24" sqref="F24"/>
    </sheetView>
  </sheetViews>
  <sheetFormatPr baseColWidth="10" defaultRowHeight="15" x14ac:dyDescent="0.25"/>
  <cols>
    <col min="2" max="2" width="15.5703125" customWidth="1"/>
    <col min="3" max="3" width="20.85546875" customWidth="1"/>
    <col min="8" max="8" width="13.140625" customWidth="1"/>
    <col min="11" max="11" width="8.28515625" customWidth="1"/>
  </cols>
  <sheetData>
    <row r="2" spans="2:11" ht="15.75" thickBot="1" x14ac:dyDescent="0.3"/>
    <row r="3" spans="2:11" ht="16.5" thickTop="1" thickBot="1" x14ac:dyDescent="0.3">
      <c r="B3" s="137" t="s">
        <v>65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36" t="s">
        <v>57</v>
      </c>
      <c r="C5" s="87" t="s">
        <v>11</v>
      </c>
      <c r="D5" s="34">
        <v>1</v>
      </c>
      <c r="E5" s="35">
        <v>0</v>
      </c>
      <c r="F5" s="35">
        <v>1</v>
      </c>
      <c r="G5" s="35">
        <v>283</v>
      </c>
      <c r="H5" s="35">
        <v>2844</v>
      </c>
      <c r="I5" s="35">
        <v>0</v>
      </c>
      <c r="J5" s="35">
        <f t="shared" ref="J5:J17" si="0">SUM(D5:I5)</f>
        <v>3129</v>
      </c>
      <c r="K5" s="66">
        <f t="shared" ref="K5:K18" si="1">J5/3586*100</f>
        <v>87.255995538204118</v>
      </c>
    </row>
    <row r="6" spans="2:11" ht="25.5" thickTop="1" thickBot="1" x14ac:dyDescent="0.3">
      <c r="B6" s="136"/>
      <c r="C6" s="87" t="s">
        <v>12</v>
      </c>
      <c r="D6" s="34">
        <v>3</v>
      </c>
      <c r="E6" s="35">
        <v>0</v>
      </c>
      <c r="F6" s="35">
        <v>0</v>
      </c>
      <c r="G6" s="35">
        <v>16</v>
      </c>
      <c r="H6" s="35">
        <v>321</v>
      </c>
      <c r="I6" s="35">
        <v>0</v>
      </c>
      <c r="J6" s="35">
        <f t="shared" si="0"/>
        <v>340</v>
      </c>
      <c r="K6" s="66">
        <f t="shared" si="1"/>
        <v>9.481316229782486</v>
      </c>
    </row>
    <row r="7" spans="2:11" ht="25.5" thickTop="1" thickBot="1" x14ac:dyDescent="0.3">
      <c r="B7" s="87" t="s">
        <v>61</v>
      </c>
      <c r="C7" s="43" t="s">
        <v>18</v>
      </c>
      <c r="D7" s="40">
        <v>0</v>
      </c>
      <c r="E7" s="40">
        <v>0</v>
      </c>
      <c r="F7" s="40">
        <v>0</v>
      </c>
      <c r="G7" s="40">
        <v>0</v>
      </c>
      <c r="H7" s="38">
        <v>1</v>
      </c>
      <c r="I7" s="35">
        <v>0</v>
      </c>
      <c r="J7" s="35">
        <f t="shared" si="0"/>
        <v>1</v>
      </c>
      <c r="K7" s="66">
        <f t="shared" si="1"/>
        <v>2.7886224205242612E-2</v>
      </c>
    </row>
    <row r="8" spans="2:11" ht="30.75" customHeight="1" thickTop="1" thickBot="1" x14ac:dyDescent="0.3">
      <c r="B8" s="129" t="s">
        <v>59</v>
      </c>
      <c r="C8" s="42" t="s">
        <v>62</v>
      </c>
      <c r="D8" s="40">
        <v>1</v>
      </c>
      <c r="E8" s="40">
        <v>0</v>
      </c>
      <c r="F8" s="40">
        <v>0</v>
      </c>
      <c r="G8" s="40">
        <v>0</v>
      </c>
      <c r="H8" s="35">
        <v>0</v>
      </c>
      <c r="I8" s="35">
        <v>0</v>
      </c>
      <c r="J8" s="35">
        <f t="shared" si="0"/>
        <v>1</v>
      </c>
      <c r="K8" s="66">
        <f t="shared" si="1"/>
        <v>2.7886224205242612E-2</v>
      </c>
    </row>
    <row r="9" spans="2:11" ht="49.5" thickTop="1" thickBot="1" x14ac:dyDescent="0.3">
      <c r="B9" s="129"/>
      <c r="C9" s="42" t="s">
        <v>16</v>
      </c>
      <c r="D9" s="40">
        <v>1</v>
      </c>
      <c r="E9" s="38">
        <v>1</v>
      </c>
      <c r="F9" s="34">
        <v>0</v>
      </c>
      <c r="G9" s="38">
        <v>0</v>
      </c>
      <c r="H9" s="38">
        <v>0</v>
      </c>
      <c r="I9" s="35">
        <v>0</v>
      </c>
      <c r="J9" s="35">
        <f t="shared" si="0"/>
        <v>2</v>
      </c>
      <c r="K9" s="66">
        <f t="shared" si="1"/>
        <v>5.5772448410485224E-2</v>
      </c>
    </row>
    <row r="10" spans="2:11" ht="25.5" thickTop="1" thickBot="1" x14ac:dyDescent="0.3">
      <c r="B10" s="130" t="s">
        <v>13</v>
      </c>
      <c r="C10" s="43" t="s">
        <v>36</v>
      </c>
      <c r="D10" s="40">
        <v>1</v>
      </c>
      <c r="E10" s="34">
        <v>0</v>
      </c>
      <c r="F10" s="34">
        <v>0</v>
      </c>
      <c r="G10" s="38">
        <v>0</v>
      </c>
      <c r="H10" s="38">
        <v>0</v>
      </c>
      <c r="I10" s="35">
        <v>0</v>
      </c>
      <c r="J10" s="35">
        <f t="shared" si="0"/>
        <v>1</v>
      </c>
      <c r="K10" s="66">
        <f t="shared" si="1"/>
        <v>2.7886224205242612E-2</v>
      </c>
    </row>
    <row r="11" spans="2:11" ht="25.5" thickTop="1" thickBot="1" x14ac:dyDescent="0.3">
      <c r="B11" s="131"/>
      <c r="C11" s="43" t="s">
        <v>14</v>
      </c>
      <c r="D11" s="40">
        <f>1+2</f>
        <v>3</v>
      </c>
      <c r="E11" s="34">
        <v>0</v>
      </c>
      <c r="F11" s="38">
        <v>1</v>
      </c>
      <c r="G11" s="38">
        <v>0</v>
      </c>
      <c r="H11" s="38">
        <v>0</v>
      </c>
      <c r="I11" s="35">
        <v>0</v>
      </c>
      <c r="J11" s="35">
        <f t="shared" si="0"/>
        <v>4</v>
      </c>
      <c r="K11" s="66">
        <f t="shared" si="1"/>
        <v>0.11154489682097045</v>
      </c>
    </row>
    <row r="12" spans="2:11" ht="28.5" customHeight="1" thickTop="1" thickBot="1" x14ac:dyDescent="0.3">
      <c r="B12" s="43" t="s">
        <v>22</v>
      </c>
      <c r="C12" s="43" t="s">
        <v>23</v>
      </c>
      <c r="D12" s="40">
        <v>5</v>
      </c>
      <c r="E12" s="34">
        <v>0</v>
      </c>
      <c r="F12" s="38">
        <v>0</v>
      </c>
      <c r="G12" s="38">
        <v>0</v>
      </c>
      <c r="H12" s="38">
        <v>0</v>
      </c>
      <c r="I12" s="35">
        <v>0</v>
      </c>
      <c r="J12" s="35">
        <f t="shared" si="0"/>
        <v>5</v>
      </c>
      <c r="K12" s="66">
        <f t="shared" si="1"/>
        <v>0.13943112102621305</v>
      </c>
    </row>
    <row r="13" spans="2:11" ht="31.5" customHeight="1" thickTop="1" thickBot="1" x14ac:dyDescent="0.3">
      <c r="B13" s="130" t="s">
        <v>19</v>
      </c>
      <c r="C13" s="43" t="s">
        <v>20</v>
      </c>
      <c r="D13" s="40">
        <v>67</v>
      </c>
      <c r="E13" s="34">
        <v>0</v>
      </c>
      <c r="F13" s="38">
        <v>2</v>
      </c>
      <c r="G13" s="38">
        <v>0</v>
      </c>
      <c r="H13" s="38">
        <v>0</v>
      </c>
      <c r="I13" s="35">
        <v>0</v>
      </c>
      <c r="J13" s="38">
        <f t="shared" si="0"/>
        <v>69</v>
      </c>
      <c r="K13" s="66">
        <f t="shared" si="1"/>
        <v>1.9241494701617401</v>
      </c>
    </row>
    <row r="14" spans="2:11" ht="44.25" customHeight="1" thickTop="1" thickBot="1" x14ac:dyDescent="0.3">
      <c r="B14" s="131"/>
      <c r="C14" s="43" t="s">
        <v>21</v>
      </c>
      <c r="D14" s="34">
        <f>6+2</f>
        <v>8</v>
      </c>
      <c r="E14" s="34">
        <v>0</v>
      </c>
      <c r="F14" s="35">
        <v>0</v>
      </c>
      <c r="G14" s="38">
        <v>0</v>
      </c>
      <c r="H14" s="38">
        <v>0</v>
      </c>
      <c r="I14" s="35">
        <v>0</v>
      </c>
      <c r="J14" s="38">
        <f t="shared" si="0"/>
        <v>8</v>
      </c>
      <c r="K14" s="66">
        <f t="shared" si="1"/>
        <v>0.2230897936419409</v>
      </c>
    </row>
    <row r="15" spans="2:11" ht="26.25" customHeight="1" thickTop="1" thickBot="1" x14ac:dyDescent="0.3">
      <c r="B15" s="130" t="s">
        <v>26</v>
      </c>
      <c r="C15" s="43" t="s">
        <v>64</v>
      </c>
      <c r="D15" s="34">
        <v>2</v>
      </c>
      <c r="E15" s="34">
        <v>0</v>
      </c>
      <c r="F15" s="35">
        <v>0</v>
      </c>
      <c r="G15" s="38">
        <v>0</v>
      </c>
      <c r="H15" s="38">
        <v>0</v>
      </c>
      <c r="I15" s="35">
        <v>0</v>
      </c>
      <c r="J15" s="38">
        <f t="shared" si="0"/>
        <v>2</v>
      </c>
      <c r="K15" s="66">
        <f t="shared" si="1"/>
        <v>5.5772448410485224E-2</v>
      </c>
    </row>
    <row r="16" spans="2:11" ht="40.5" customHeight="1" thickTop="1" thickBot="1" x14ac:dyDescent="0.3">
      <c r="B16" s="136"/>
      <c r="C16" s="43" t="s">
        <v>28</v>
      </c>
      <c r="D16" s="34">
        <v>22</v>
      </c>
      <c r="E16" s="38">
        <v>1</v>
      </c>
      <c r="F16" s="35">
        <v>0</v>
      </c>
      <c r="G16" s="38">
        <v>0</v>
      </c>
      <c r="H16" s="38">
        <v>0</v>
      </c>
      <c r="I16" s="35">
        <v>0</v>
      </c>
      <c r="J16" s="38">
        <f t="shared" si="0"/>
        <v>23</v>
      </c>
      <c r="K16" s="66">
        <f t="shared" si="1"/>
        <v>0.64138315672058011</v>
      </c>
    </row>
    <row r="17" spans="2:11" ht="69" customHeight="1" thickTop="1" thickBot="1" x14ac:dyDescent="0.3">
      <c r="B17" s="43" t="s">
        <v>31</v>
      </c>
      <c r="C17" s="43" t="s">
        <v>32</v>
      </c>
      <c r="D17" s="40">
        <v>0</v>
      </c>
      <c r="E17" s="38">
        <v>1</v>
      </c>
      <c r="F17" s="38">
        <v>0</v>
      </c>
      <c r="G17" s="38">
        <v>0</v>
      </c>
      <c r="H17" s="38">
        <v>0</v>
      </c>
      <c r="I17" s="35">
        <v>0</v>
      </c>
      <c r="J17" s="38">
        <f t="shared" si="0"/>
        <v>1</v>
      </c>
      <c r="K17" s="66">
        <f t="shared" si="1"/>
        <v>2.7886224205242612E-2</v>
      </c>
    </row>
    <row r="18" spans="2:11" ht="16.5" thickTop="1" thickBot="1" x14ac:dyDescent="0.3">
      <c r="B18" s="132" t="s">
        <v>38</v>
      </c>
      <c r="C18" s="132"/>
      <c r="D18" s="38">
        <f>SUM(D5:D16)</f>
        <v>114</v>
      </c>
      <c r="E18" s="38">
        <f>SUM(E5:E17)</f>
        <v>3</v>
      </c>
      <c r="F18" s="38">
        <f>SUM(F5:F17)</f>
        <v>4</v>
      </c>
      <c r="G18" s="38">
        <f>SUM(G5:G17)</f>
        <v>299</v>
      </c>
      <c r="H18" s="38">
        <f>SUM(H5:H17)</f>
        <v>3166</v>
      </c>
      <c r="I18" s="38">
        <f>SUM(I5:I17)</f>
        <v>0</v>
      </c>
      <c r="J18" s="38">
        <f>SUM(D5:I17)</f>
        <v>3586</v>
      </c>
      <c r="K18" s="68">
        <f t="shared" si="1"/>
        <v>100</v>
      </c>
    </row>
    <row r="19" spans="2:11" ht="15.75" thickTop="1" x14ac:dyDescent="0.25"/>
    <row r="21" spans="2:11" x14ac:dyDescent="0.25">
      <c r="B21" s="77" t="s">
        <v>55</v>
      </c>
      <c r="C21" s="77" t="s">
        <v>60</v>
      </c>
    </row>
  </sheetData>
  <mergeCells count="7">
    <mergeCell ref="B15:B16"/>
    <mergeCell ref="B18:C18"/>
    <mergeCell ref="B3:K3"/>
    <mergeCell ref="B5:B6"/>
    <mergeCell ref="B8:B9"/>
    <mergeCell ref="B10:B11"/>
    <mergeCell ref="B13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A3" sqref="A3:J3"/>
    </sheetView>
  </sheetViews>
  <sheetFormatPr baseColWidth="10" defaultRowHeight="15" x14ac:dyDescent="0.25"/>
  <cols>
    <col min="1" max="1" width="16.140625" customWidth="1"/>
    <col min="2" max="2" width="19.5703125" customWidth="1"/>
    <col min="7" max="7" width="15" customWidth="1"/>
    <col min="10" max="10" width="7.42578125" customWidth="1"/>
  </cols>
  <sheetData>
    <row r="3" spans="1:10" ht="15.75" thickBot="1" x14ac:dyDescent="0.3">
      <c r="A3" s="140" t="s">
        <v>67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60" customHeight="1" thickTop="1" thickBot="1" x14ac:dyDescent="0.3">
      <c r="A5" s="136" t="s">
        <v>57</v>
      </c>
      <c r="B5" s="88" t="s">
        <v>11</v>
      </c>
      <c r="C5" s="34">
        <v>1</v>
      </c>
      <c r="D5" s="35">
        <v>0</v>
      </c>
      <c r="E5" s="35">
        <v>1</v>
      </c>
      <c r="F5" s="35">
        <v>184</v>
      </c>
      <c r="G5" s="35">
        <v>3216</v>
      </c>
      <c r="H5" s="38">
        <v>0</v>
      </c>
      <c r="I5" s="35">
        <f t="shared" ref="I5:I17" si="0">SUM(C5:H5)</f>
        <v>3402</v>
      </c>
      <c r="J5" s="66">
        <f t="shared" ref="J5" si="1">I5/3586*100</f>
        <v>94.868934746235354</v>
      </c>
    </row>
    <row r="6" spans="1:10" ht="25.5" thickTop="1" thickBot="1" x14ac:dyDescent="0.3">
      <c r="A6" s="136"/>
      <c r="B6" s="88" t="s">
        <v>12</v>
      </c>
      <c r="C6" s="34">
        <v>0</v>
      </c>
      <c r="D6" s="35">
        <v>0</v>
      </c>
      <c r="E6" s="35">
        <v>0</v>
      </c>
      <c r="F6" s="35">
        <v>12</v>
      </c>
      <c r="G6" s="35">
        <v>315</v>
      </c>
      <c r="H6" s="38">
        <v>0</v>
      </c>
      <c r="I6" s="35">
        <f t="shared" si="0"/>
        <v>327</v>
      </c>
      <c r="J6" s="66">
        <f t="shared" ref="J6:J17" si="2">I6/3823*100</f>
        <v>8.5534920219722732</v>
      </c>
    </row>
    <row r="7" spans="1:10" ht="37.5" thickTop="1" thickBot="1" x14ac:dyDescent="0.3">
      <c r="A7" s="88" t="s">
        <v>48</v>
      </c>
      <c r="B7" s="43" t="s">
        <v>66</v>
      </c>
      <c r="C7" s="40">
        <v>1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1</v>
      </c>
      <c r="J7" s="66">
        <f t="shared" si="2"/>
        <v>2.6157467957101749E-2</v>
      </c>
    </row>
    <row r="8" spans="1:10" ht="67.5" customHeight="1" thickTop="1" thickBot="1" x14ac:dyDescent="0.3">
      <c r="A8" s="89" t="s">
        <v>59</v>
      </c>
      <c r="B8" s="42" t="s">
        <v>16</v>
      </c>
      <c r="C8" s="40">
        <v>1</v>
      </c>
      <c r="D8" s="35">
        <v>0</v>
      </c>
      <c r="E8" s="38">
        <v>1</v>
      </c>
      <c r="F8" s="38">
        <v>0</v>
      </c>
      <c r="G8" s="38">
        <v>0</v>
      </c>
      <c r="H8" s="38">
        <v>0</v>
      </c>
      <c r="I8" s="35">
        <f t="shared" si="0"/>
        <v>2</v>
      </c>
      <c r="J8" s="66">
        <f t="shared" si="2"/>
        <v>5.2314935914203498E-2</v>
      </c>
    </row>
    <row r="9" spans="1:10" ht="37.5" thickTop="1" thickBot="1" x14ac:dyDescent="0.3">
      <c r="A9" s="89" t="s">
        <v>13</v>
      </c>
      <c r="B9" s="43" t="s">
        <v>14</v>
      </c>
      <c r="C9" s="40">
        <f>1+2+3</f>
        <v>6</v>
      </c>
      <c r="D9" s="35">
        <v>0</v>
      </c>
      <c r="E9" s="38">
        <v>1</v>
      </c>
      <c r="F9" s="38">
        <v>0</v>
      </c>
      <c r="G9" s="38">
        <v>0</v>
      </c>
      <c r="H9" s="38">
        <v>0</v>
      </c>
      <c r="I9" s="35">
        <f t="shared" si="0"/>
        <v>7</v>
      </c>
      <c r="J9" s="66">
        <f t="shared" si="2"/>
        <v>0.18310227569971227</v>
      </c>
    </row>
    <row r="10" spans="1:10" ht="16.5" thickTop="1" thickBot="1" x14ac:dyDescent="0.3">
      <c r="A10" s="43" t="s">
        <v>22</v>
      </c>
      <c r="B10" s="43" t="s">
        <v>23</v>
      </c>
      <c r="C10" s="40">
        <v>2</v>
      </c>
      <c r="D10" s="35">
        <v>0</v>
      </c>
      <c r="E10" s="38">
        <v>0</v>
      </c>
      <c r="F10" s="38">
        <v>0</v>
      </c>
      <c r="G10" s="38">
        <v>0</v>
      </c>
      <c r="H10" s="38">
        <v>0</v>
      </c>
      <c r="I10" s="35">
        <f t="shared" si="0"/>
        <v>2</v>
      </c>
      <c r="J10" s="66">
        <f t="shared" si="2"/>
        <v>5.2314935914203498E-2</v>
      </c>
    </row>
    <row r="11" spans="1:10" ht="16.5" thickTop="1" thickBot="1" x14ac:dyDescent="0.3">
      <c r="A11" s="130" t="s">
        <v>19</v>
      </c>
      <c r="B11" s="43" t="s">
        <v>20</v>
      </c>
      <c r="C11" s="40">
        <v>37</v>
      </c>
      <c r="D11" s="38">
        <v>1</v>
      </c>
      <c r="E11" s="38">
        <v>1</v>
      </c>
      <c r="F11" s="38">
        <v>0</v>
      </c>
      <c r="G11" s="38">
        <v>0</v>
      </c>
      <c r="H11" s="38">
        <v>0</v>
      </c>
      <c r="I11" s="35">
        <f t="shared" si="0"/>
        <v>39</v>
      </c>
      <c r="J11" s="66">
        <f t="shared" si="2"/>
        <v>1.0201412503269682</v>
      </c>
    </row>
    <row r="12" spans="1:10" ht="16.5" thickTop="1" thickBot="1" x14ac:dyDescent="0.3">
      <c r="A12" s="136"/>
      <c r="B12" s="43" t="s">
        <v>21</v>
      </c>
      <c r="C12" s="34">
        <f>3+6</f>
        <v>9</v>
      </c>
      <c r="D12" s="35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9</v>
      </c>
      <c r="J12" s="66">
        <f t="shared" si="2"/>
        <v>0.23541721161391577</v>
      </c>
    </row>
    <row r="13" spans="1:10" ht="16.5" thickTop="1" thickBot="1" x14ac:dyDescent="0.3">
      <c r="A13" s="131"/>
      <c r="B13" s="43" t="s">
        <v>45</v>
      </c>
      <c r="C13" s="34">
        <v>1</v>
      </c>
      <c r="D13" s="35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1</v>
      </c>
      <c r="J13" s="66">
        <f t="shared" si="2"/>
        <v>2.6157467957101749E-2</v>
      </c>
    </row>
    <row r="14" spans="1:10" ht="16.5" thickTop="1" thickBot="1" x14ac:dyDescent="0.3">
      <c r="A14" s="130" t="s">
        <v>26</v>
      </c>
      <c r="B14" s="43" t="s">
        <v>64</v>
      </c>
      <c r="C14" s="40">
        <v>2</v>
      </c>
      <c r="D14" s="35">
        <v>0</v>
      </c>
      <c r="E14" s="38">
        <v>0</v>
      </c>
      <c r="F14" s="38">
        <v>0</v>
      </c>
      <c r="G14" s="38">
        <v>0</v>
      </c>
      <c r="H14" s="38">
        <v>0</v>
      </c>
      <c r="I14" s="35">
        <f t="shared" si="0"/>
        <v>2</v>
      </c>
      <c r="J14" s="66">
        <f t="shared" si="2"/>
        <v>5.2314935914203498E-2</v>
      </c>
    </row>
    <row r="15" spans="1:10" ht="16.5" thickTop="1" thickBot="1" x14ac:dyDescent="0.3">
      <c r="A15" s="136"/>
      <c r="B15" s="43" t="s">
        <v>28</v>
      </c>
      <c r="C15" s="34">
        <f>19+1</f>
        <v>20</v>
      </c>
      <c r="D15" s="38">
        <v>2</v>
      </c>
      <c r="E15" s="38">
        <v>1</v>
      </c>
      <c r="F15" s="38">
        <v>0</v>
      </c>
      <c r="G15" s="38">
        <v>0</v>
      </c>
      <c r="H15" s="38">
        <v>0</v>
      </c>
      <c r="I15" s="35">
        <f t="shared" si="0"/>
        <v>23</v>
      </c>
      <c r="J15" s="66">
        <f t="shared" si="2"/>
        <v>0.60162176301334025</v>
      </c>
    </row>
    <row r="16" spans="1:10" ht="25.5" thickTop="1" thickBot="1" x14ac:dyDescent="0.3">
      <c r="A16" s="136"/>
      <c r="B16" s="43" t="s">
        <v>27</v>
      </c>
      <c r="C16" s="40">
        <v>0</v>
      </c>
      <c r="D16" s="38">
        <v>0</v>
      </c>
      <c r="E16" s="38">
        <v>0</v>
      </c>
      <c r="F16" s="38">
        <v>1</v>
      </c>
      <c r="G16" s="38">
        <v>5</v>
      </c>
      <c r="H16" s="38">
        <v>0</v>
      </c>
      <c r="I16" s="35">
        <f t="shared" si="0"/>
        <v>6</v>
      </c>
      <c r="J16" s="66">
        <f t="shared" si="2"/>
        <v>0.15694480774261052</v>
      </c>
    </row>
    <row r="17" spans="1:10" ht="61.5" thickTop="1" thickBot="1" x14ac:dyDescent="0.3">
      <c r="A17" s="43" t="s">
        <v>31</v>
      </c>
      <c r="B17" s="43" t="s">
        <v>32</v>
      </c>
      <c r="C17" s="40">
        <v>1</v>
      </c>
      <c r="D17" s="38">
        <v>0</v>
      </c>
      <c r="E17" s="38">
        <v>0</v>
      </c>
      <c r="F17" s="38">
        <v>0</v>
      </c>
      <c r="G17" s="38">
        <v>0</v>
      </c>
      <c r="H17" s="38">
        <v>1</v>
      </c>
      <c r="I17" s="35">
        <f t="shared" si="0"/>
        <v>2</v>
      </c>
      <c r="J17" s="66">
        <f t="shared" si="2"/>
        <v>5.2314935914203498E-2</v>
      </c>
    </row>
    <row r="18" spans="1:10" ht="16.5" thickTop="1" thickBot="1" x14ac:dyDescent="0.3">
      <c r="A18" s="132" t="s">
        <v>38</v>
      </c>
      <c r="B18" s="132"/>
      <c r="C18" s="38">
        <f t="shared" ref="C18:H18" si="3">SUM(C5:C17)</f>
        <v>81</v>
      </c>
      <c r="D18" s="38">
        <f t="shared" si="3"/>
        <v>3</v>
      </c>
      <c r="E18" s="38">
        <f t="shared" si="3"/>
        <v>5</v>
      </c>
      <c r="F18" s="38">
        <f t="shared" si="3"/>
        <v>197</v>
      </c>
      <c r="G18" s="38">
        <f t="shared" si="3"/>
        <v>3536</v>
      </c>
      <c r="H18" s="38">
        <f t="shared" si="3"/>
        <v>1</v>
      </c>
      <c r="I18" s="38">
        <f>SUM(C5:H17)</f>
        <v>3823</v>
      </c>
      <c r="J18" s="68">
        <f>I18/3823*100</f>
        <v>100</v>
      </c>
    </row>
    <row r="19" spans="1:10" ht="15.75" thickTop="1" x14ac:dyDescent="0.25"/>
    <row r="21" spans="1:10" x14ac:dyDescent="0.25">
      <c r="A21" s="77" t="s">
        <v>55</v>
      </c>
      <c r="B21" s="77" t="s">
        <v>60</v>
      </c>
    </row>
  </sheetData>
  <mergeCells count="5">
    <mergeCell ref="A5:A6"/>
    <mergeCell ref="A11:A13"/>
    <mergeCell ref="A14:A16"/>
    <mergeCell ref="A18:B18"/>
    <mergeCell ref="A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19" sqref="A19:B19"/>
    </sheetView>
  </sheetViews>
  <sheetFormatPr baseColWidth="10" defaultRowHeight="15" x14ac:dyDescent="0.25"/>
  <cols>
    <col min="1" max="1" width="15.140625" customWidth="1"/>
    <col min="2" max="2" width="21.7109375" customWidth="1"/>
    <col min="7" max="7" width="13.28515625" customWidth="1"/>
    <col min="10" max="10" width="8.855468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0.5" customHeight="1" thickTop="1" thickBot="1" x14ac:dyDescent="0.3">
      <c r="A4" s="136" t="s">
        <v>57</v>
      </c>
      <c r="B4" s="90" t="s">
        <v>11</v>
      </c>
      <c r="C4" s="34">
        <v>0</v>
      </c>
      <c r="D4" s="34">
        <v>0</v>
      </c>
      <c r="E4" s="34">
        <v>0</v>
      </c>
      <c r="F4" s="35">
        <v>157</v>
      </c>
      <c r="G4" s="35">
        <v>3404</v>
      </c>
      <c r="H4" s="35">
        <v>0</v>
      </c>
      <c r="I4" s="35">
        <f t="shared" ref="I4:I15" si="0">SUM(C4:H4)</f>
        <v>3561</v>
      </c>
      <c r="J4" s="66">
        <f t="shared" ref="J4:J15" si="1">I4/3938*100</f>
        <v>90.426612493651604</v>
      </c>
    </row>
    <row r="5" spans="1:10" ht="25.5" thickTop="1" thickBot="1" x14ac:dyDescent="0.3">
      <c r="A5" s="136"/>
      <c r="B5" s="90" t="s">
        <v>12</v>
      </c>
      <c r="C5" s="34">
        <v>1</v>
      </c>
      <c r="D5" s="34">
        <v>0</v>
      </c>
      <c r="E5" s="35">
        <v>1</v>
      </c>
      <c r="F5" s="35">
        <v>10</v>
      </c>
      <c r="G5" s="35">
        <v>294</v>
      </c>
      <c r="H5" s="35">
        <v>0</v>
      </c>
      <c r="I5" s="35">
        <f t="shared" si="0"/>
        <v>306</v>
      </c>
      <c r="J5" s="66">
        <f t="shared" si="1"/>
        <v>7.7704418486541389</v>
      </c>
    </row>
    <row r="6" spans="1:10" ht="52.5" customHeight="1" thickTop="1" thickBot="1" x14ac:dyDescent="0.3">
      <c r="A6" s="130" t="s">
        <v>59</v>
      </c>
      <c r="B6" s="43" t="s">
        <v>40</v>
      </c>
      <c r="C6" s="40">
        <v>0</v>
      </c>
      <c r="D6" s="34">
        <v>0</v>
      </c>
      <c r="E6" s="38">
        <v>0</v>
      </c>
      <c r="F6" s="38">
        <v>0</v>
      </c>
      <c r="G6" s="35">
        <v>3</v>
      </c>
      <c r="H6" s="35">
        <v>0</v>
      </c>
      <c r="I6" s="35">
        <f t="shared" si="0"/>
        <v>3</v>
      </c>
      <c r="J6" s="66">
        <f t="shared" si="1"/>
        <v>7.6180802437785688E-2</v>
      </c>
    </row>
    <row r="7" spans="1:10" ht="54" customHeight="1" thickTop="1" thickBot="1" x14ac:dyDescent="0.3">
      <c r="A7" s="131"/>
      <c r="B7" s="42" t="s">
        <v>16</v>
      </c>
      <c r="C7" s="40">
        <v>3</v>
      </c>
      <c r="D7" s="34">
        <v>0</v>
      </c>
      <c r="E7" s="38">
        <v>1</v>
      </c>
      <c r="F7" s="38">
        <v>0</v>
      </c>
      <c r="G7" s="38">
        <v>0</v>
      </c>
      <c r="H7" s="35">
        <v>0</v>
      </c>
      <c r="I7" s="35">
        <f t="shared" si="0"/>
        <v>4</v>
      </c>
      <c r="J7" s="66">
        <f t="shared" si="1"/>
        <v>0.10157440325038089</v>
      </c>
    </row>
    <row r="8" spans="1:10" ht="37.5" thickTop="1" thickBot="1" x14ac:dyDescent="0.3">
      <c r="A8" s="91" t="s">
        <v>13</v>
      </c>
      <c r="B8" s="43" t="s">
        <v>14</v>
      </c>
      <c r="C8" s="40">
        <v>5</v>
      </c>
      <c r="D8" s="34">
        <v>0</v>
      </c>
      <c r="E8" s="38">
        <v>0</v>
      </c>
      <c r="F8" s="38">
        <v>0</v>
      </c>
      <c r="G8" s="38">
        <v>0</v>
      </c>
      <c r="H8" s="35">
        <v>0</v>
      </c>
      <c r="I8" s="35">
        <f t="shared" si="0"/>
        <v>5</v>
      </c>
      <c r="J8" s="66">
        <f t="shared" si="1"/>
        <v>0.12696800406297612</v>
      </c>
    </row>
    <row r="9" spans="1:10" ht="16.5" thickTop="1" thickBot="1" x14ac:dyDescent="0.3">
      <c r="A9" s="43" t="s">
        <v>22</v>
      </c>
      <c r="B9" s="43" t="s">
        <v>23</v>
      </c>
      <c r="C9" s="40">
        <v>2</v>
      </c>
      <c r="D9" s="34">
        <v>0</v>
      </c>
      <c r="E9" s="38">
        <v>1</v>
      </c>
      <c r="F9" s="38">
        <v>0</v>
      </c>
      <c r="G9" s="38">
        <v>0</v>
      </c>
      <c r="H9" s="35">
        <v>0</v>
      </c>
      <c r="I9" s="35">
        <f t="shared" si="0"/>
        <v>3</v>
      </c>
      <c r="J9" s="66">
        <f t="shared" si="1"/>
        <v>7.6180802437785688E-2</v>
      </c>
    </row>
    <row r="10" spans="1:10" ht="44.25" customHeight="1" thickTop="1" thickBot="1" x14ac:dyDescent="0.3">
      <c r="A10" s="43" t="s">
        <v>24</v>
      </c>
      <c r="B10" s="43" t="s">
        <v>68</v>
      </c>
      <c r="C10" s="40">
        <v>0</v>
      </c>
      <c r="D10" s="34">
        <v>0</v>
      </c>
      <c r="E10" s="38">
        <v>2</v>
      </c>
      <c r="F10" s="38">
        <v>0</v>
      </c>
      <c r="G10" s="38">
        <v>0</v>
      </c>
      <c r="H10" s="35">
        <v>0</v>
      </c>
      <c r="I10" s="35">
        <f t="shared" si="0"/>
        <v>2</v>
      </c>
      <c r="J10" s="66">
        <f t="shared" si="1"/>
        <v>5.0787201625190445E-2</v>
      </c>
    </row>
    <row r="11" spans="1:10" ht="16.5" thickTop="1" thickBot="1" x14ac:dyDescent="0.3">
      <c r="A11" s="130" t="s">
        <v>19</v>
      </c>
      <c r="B11" s="43" t="s">
        <v>20</v>
      </c>
      <c r="C11" s="40">
        <v>18</v>
      </c>
      <c r="D11" s="34">
        <v>0</v>
      </c>
      <c r="E11" s="38">
        <v>1</v>
      </c>
      <c r="F11" s="38">
        <v>0</v>
      </c>
      <c r="G11" s="38">
        <v>0</v>
      </c>
      <c r="H11" s="35">
        <v>0</v>
      </c>
      <c r="I11" s="35">
        <f t="shared" si="0"/>
        <v>19</v>
      </c>
      <c r="J11" s="66">
        <f t="shared" si="1"/>
        <v>0.4824784154393093</v>
      </c>
    </row>
    <row r="12" spans="1:10" ht="16.5" thickTop="1" thickBot="1" x14ac:dyDescent="0.3">
      <c r="A12" s="131"/>
      <c r="B12" s="43" t="s">
        <v>21</v>
      </c>
      <c r="C12" s="34">
        <v>4</v>
      </c>
      <c r="D12" s="34">
        <v>0</v>
      </c>
      <c r="E12" s="35">
        <v>0</v>
      </c>
      <c r="F12" s="38">
        <v>0</v>
      </c>
      <c r="G12" s="38">
        <v>0</v>
      </c>
      <c r="H12" s="35">
        <v>0</v>
      </c>
      <c r="I12" s="35">
        <f t="shared" si="0"/>
        <v>4</v>
      </c>
      <c r="J12" s="66">
        <f t="shared" si="1"/>
        <v>0.10157440325038089</v>
      </c>
    </row>
    <row r="13" spans="1:10" ht="16.5" thickTop="1" thickBot="1" x14ac:dyDescent="0.3">
      <c r="A13" s="130" t="s">
        <v>26</v>
      </c>
      <c r="B13" s="43" t="s">
        <v>28</v>
      </c>
      <c r="C13" s="34">
        <f>19+1+1+1</f>
        <v>22</v>
      </c>
      <c r="D13" s="34">
        <v>0</v>
      </c>
      <c r="E13" s="38">
        <v>1</v>
      </c>
      <c r="F13" s="38">
        <v>0</v>
      </c>
      <c r="G13" s="38">
        <v>0</v>
      </c>
      <c r="H13" s="35">
        <v>0</v>
      </c>
      <c r="I13" s="35">
        <f t="shared" si="0"/>
        <v>23</v>
      </c>
      <c r="J13" s="66">
        <f t="shared" si="1"/>
        <v>0.58405281868969017</v>
      </c>
    </row>
    <row r="14" spans="1:10" ht="25.5" thickTop="1" thickBot="1" x14ac:dyDescent="0.3">
      <c r="A14" s="131"/>
      <c r="B14" s="43" t="s">
        <v>27</v>
      </c>
      <c r="C14" s="40">
        <v>0</v>
      </c>
      <c r="D14" s="34">
        <v>0</v>
      </c>
      <c r="E14" s="38">
        <v>0</v>
      </c>
      <c r="F14" s="38">
        <v>3</v>
      </c>
      <c r="G14" s="38">
        <v>4</v>
      </c>
      <c r="H14" s="35">
        <v>0</v>
      </c>
      <c r="I14" s="35">
        <f t="shared" si="0"/>
        <v>7</v>
      </c>
      <c r="J14" s="66">
        <f t="shared" si="1"/>
        <v>0.17775520568816658</v>
      </c>
    </row>
    <row r="15" spans="1:10" ht="38.25" customHeight="1" thickTop="1" thickBot="1" x14ac:dyDescent="0.3">
      <c r="A15" s="43" t="s">
        <v>31</v>
      </c>
      <c r="B15" s="43" t="s">
        <v>32</v>
      </c>
      <c r="C15" s="40">
        <v>0</v>
      </c>
      <c r="D15" s="38">
        <v>1</v>
      </c>
      <c r="E15" s="38">
        <v>0</v>
      </c>
      <c r="F15" s="38">
        <v>0</v>
      </c>
      <c r="G15" s="38">
        <v>0</v>
      </c>
      <c r="H15" s="35">
        <v>0</v>
      </c>
      <c r="I15" s="35">
        <f t="shared" si="0"/>
        <v>1</v>
      </c>
      <c r="J15" s="66">
        <f t="shared" si="1"/>
        <v>2.5393600812595223E-2</v>
      </c>
    </row>
    <row r="16" spans="1:10" ht="16.5" thickTop="1" thickBot="1" x14ac:dyDescent="0.3">
      <c r="A16" s="132" t="s">
        <v>38</v>
      </c>
      <c r="B16" s="132"/>
      <c r="C16" s="38">
        <f t="shared" ref="C16:H16" si="2">SUM(C4:C15)</f>
        <v>55</v>
      </c>
      <c r="D16" s="38">
        <f t="shared" si="2"/>
        <v>1</v>
      </c>
      <c r="E16" s="38">
        <f t="shared" si="2"/>
        <v>7</v>
      </c>
      <c r="F16" s="38">
        <f t="shared" si="2"/>
        <v>170</v>
      </c>
      <c r="G16" s="38">
        <f t="shared" si="2"/>
        <v>3705</v>
      </c>
      <c r="H16" s="38">
        <f t="shared" si="2"/>
        <v>0</v>
      </c>
      <c r="I16" s="38">
        <f>SUM(C4:H15)</f>
        <v>3938</v>
      </c>
      <c r="J16" s="68">
        <f>I16/3938*100</f>
        <v>100</v>
      </c>
    </row>
    <row r="17" spans="1:10" ht="15.75" thickTop="1" x14ac:dyDescent="0.25">
      <c r="C17" s="94"/>
      <c r="D17" s="94"/>
      <c r="E17" s="94"/>
      <c r="F17" s="94"/>
      <c r="G17" s="94"/>
      <c r="H17" s="94"/>
      <c r="I17" s="94"/>
      <c r="J17" s="94"/>
    </row>
    <row r="19" spans="1:10" x14ac:dyDescent="0.25">
      <c r="A19" s="77" t="s">
        <v>55</v>
      </c>
      <c r="B19" s="77" t="s">
        <v>60</v>
      </c>
    </row>
  </sheetData>
  <mergeCells count="5">
    <mergeCell ref="A4:A5"/>
    <mergeCell ref="A6:A7"/>
    <mergeCell ref="A11:A12"/>
    <mergeCell ref="A13:A14"/>
    <mergeCell ref="A16:B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2" sqref="A2:J2"/>
    </sheetView>
  </sheetViews>
  <sheetFormatPr baseColWidth="10" defaultRowHeight="15" x14ac:dyDescent="0.25"/>
  <cols>
    <col min="1" max="1" width="16.28515625" customWidth="1"/>
    <col min="2" max="2" width="16.5703125" customWidth="1"/>
    <col min="7" max="7" width="14.85546875" customWidth="1"/>
    <col min="10" max="10" width="9" customWidth="1"/>
  </cols>
  <sheetData>
    <row r="2" spans="1:10" ht="15.75" thickBot="1" x14ac:dyDescent="0.3">
      <c r="A2" s="140" t="s">
        <v>71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4.25" customHeight="1" thickTop="1" thickBot="1" x14ac:dyDescent="0.3">
      <c r="A4" s="136" t="s">
        <v>57</v>
      </c>
      <c r="B4" s="92" t="s">
        <v>11</v>
      </c>
      <c r="C4" s="34">
        <v>0</v>
      </c>
      <c r="D4" s="35">
        <v>0</v>
      </c>
      <c r="E4" s="35">
        <v>0</v>
      </c>
      <c r="F4" s="35">
        <v>217</v>
      </c>
      <c r="G4" s="35">
        <v>3407</v>
      </c>
      <c r="H4" s="35">
        <v>0</v>
      </c>
      <c r="I4" s="35">
        <f t="shared" ref="I4:I15" si="0">SUM(C4:H4)</f>
        <v>3624</v>
      </c>
      <c r="J4" s="66">
        <f t="shared" ref="J4:J15" si="1">I4/4027*100</f>
        <v>89.992550285572378</v>
      </c>
    </row>
    <row r="5" spans="1:10" ht="46.5" customHeight="1" thickTop="1" thickBot="1" x14ac:dyDescent="0.3">
      <c r="A5" s="136"/>
      <c r="B5" s="92" t="s">
        <v>12</v>
      </c>
      <c r="C5" s="34">
        <v>0</v>
      </c>
      <c r="D5" s="35">
        <v>0</v>
      </c>
      <c r="E5" s="35">
        <v>0</v>
      </c>
      <c r="F5" s="35">
        <v>7</v>
      </c>
      <c r="G5" s="35">
        <v>334</v>
      </c>
      <c r="H5" s="35">
        <v>0</v>
      </c>
      <c r="I5" s="35">
        <f t="shared" si="0"/>
        <v>341</v>
      </c>
      <c r="J5" s="66">
        <f t="shared" si="1"/>
        <v>8.4678420660541356</v>
      </c>
    </row>
    <row r="6" spans="1:10" ht="72" customHeight="1" thickTop="1" thickBot="1" x14ac:dyDescent="0.3">
      <c r="A6" s="93" t="s">
        <v>59</v>
      </c>
      <c r="B6" s="43" t="s">
        <v>40</v>
      </c>
      <c r="C6" s="34">
        <v>0</v>
      </c>
      <c r="D6" s="35">
        <v>0</v>
      </c>
      <c r="E6" s="35">
        <v>0</v>
      </c>
      <c r="F6" s="38">
        <v>0</v>
      </c>
      <c r="G6" s="35">
        <v>2</v>
      </c>
      <c r="H6" s="38">
        <v>0</v>
      </c>
      <c r="I6" s="35">
        <f t="shared" si="0"/>
        <v>2</v>
      </c>
      <c r="J6" s="66">
        <f t="shared" si="1"/>
        <v>4.9664762850757389E-2</v>
      </c>
    </row>
    <row r="7" spans="1:10" ht="58.5" customHeight="1" thickTop="1" thickBot="1" x14ac:dyDescent="0.3">
      <c r="A7" s="93" t="s">
        <v>13</v>
      </c>
      <c r="B7" s="43" t="s">
        <v>14</v>
      </c>
      <c r="C7" s="40">
        <f>1+8</f>
        <v>9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9</v>
      </c>
      <c r="J7" s="66">
        <f t="shared" si="1"/>
        <v>0.22349143282840825</v>
      </c>
    </row>
    <row r="8" spans="1:10" ht="30" customHeight="1" thickTop="1" thickBot="1" x14ac:dyDescent="0.3">
      <c r="A8" s="43" t="s">
        <v>22</v>
      </c>
      <c r="B8" s="43" t="s">
        <v>23</v>
      </c>
      <c r="C8" s="40">
        <v>4</v>
      </c>
      <c r="D8" s="35">
        <v>0</v>
      </c>
      <c r="E8" s="35">
        <v>0</v>
      </c>
      <c r="F8" s="38">
        <v>0</v>
      </c>
      <c r="G8" s="38">
        <v>0</v>
      </c>
      <c r="H8" s="38">
        <v>0</v>
      </c>
      <c r="I8" s="35">
        <f t="shared" si="0"/>
        <v>4</v>
      </c>
      <c r="J8" s="66">
        <f t="shared" si="1"/>
        <v>9.9329525701514779E-2</v>
      </c>
    </row>
    <row r="9" spans="1:10" ht="30" customHeight="1" thickTop="1" thickBot="1" x14ac:dyDescent="0.3">
      <c r="A9" s="43" t="s">
        <v>17</v>
      </c>
      <c r="B9" s="43" t="s">
        <v>69</v>
      </c>
      <c r="C9" s="40">
        <v>1</v>
      </c>
      <c r="D9" s="35">
        <v>0</v>
      </c>
      <c r="E9" s="35">
        <v>0</v>
      </c>
      <c r="F9" s="38">
        <v>0</v>
      </c>
      <c r="G9" s="38">
        <v>0</v>
      </c>
      <c r="H9" s="38">
        <v>0</v>
      </c>
      <c r="I9" s="35">
        <f t="shared" si="0"/>
        <v>1</v>
      </c>
      <c r="J9" s="66">
        <f t="shared" si="1"/>
        <v>2.4832381425378695E-2</v>
      </c>
    </row>
    <row r="10" spans="1:10" ht="30" customHeight="1" thickTop="1" thickBot="1" x14ac:dyDescent="0.3">
      <c r="A10" s="130" t="s">
        <v>19</v>
      </c>
      <c r="B10" s="43" t="s">
        <v>20</v>
      </c>
      <c r="C10" s="40">
        <v>12</v>
      </c>
      <c r="D10" s="35">
        <v>0</v>
      </c>
      <c r="E10" s="38">
        <v>2</v>
      </c>
      <c r="F10" s="38">
        <v>0</v>
      </c>
      <c r="G10" s="38">
        <v>0</v>
      </c>
      <c r="H10" s="38">
        <v>0</v>
      </c>
      <c r="I10" s="35">
        <f t="shared" si="0"/>
        <v>14</v>
      </c>
      <c r="J10" s="66">
        <f t="shared" si="1"/>
        <v>0.34765333995530168</v>
      </c>
    </row>
    <row r="11" spans="1:10" ht="30" customHeight="1" thickTop="1" thickBot="1" x14ac:dyDescent="0.3">
      <c r="A11" s="131"/>
      <c r="B11" s="43" t="s">
        <v>21</v>
      </c>
      <c r="C11" s="34">
        <f>3+1</f>
        <v>4</v>
      </c>
      <c r="D11" s="35">
        <v>0</v>
      </c>
      <c r="E11" s="35">
        <v>0</v>
      </c>
      <c r="F11" s="38">
        <v>0</v>
      </c>
      <c r="G11" s="38">
        <v>0</v>
      </c>
      <c r="H11" s="38">
        <v>0</v>
      </c>
      <c r="I11" s="35">
        <f t="shared" si="0"/>
        <v>4</v>
      </c>
      <c r="J11" s="66">
        <f t="shared" si="1"/>
        <v>9.9329525701514779E-2</v>
      </c>
    </row>
    <row r="12" spans="1:10" ht="30" customHeight="1" thickTop="1" thickBot="1" x14ac:dyDescent="0.3">
      <c r="A12" s="130" t="s">
        <v>26</v>
      </c>
      <c r="B12" s="43" t="s">
        <v>28</v>
      </c>
      <c r="C12" s="34">
        <f>17+1</f>
        <v>18</v>
      </c>
      <c r="D12" s="35">
        <v>0</v>
      </c>
      <c r="E12" s="35">
        <v>0</v>
      </c>
      <c r="F12" s="35">
        <v>0</v>
      </c>
      <c r="G12" s="38">
        <v>0</v>
      </c>
      <c r="H12" s="38">
        <v>2</v>
      </c>
      <c r="I12" s="35">
        <f t="shared" si="0"/>
        <v>20</v>
      </c>
      <c r="J12" s="66">
        <f t="shared" si="1"/>
        <v>0.49664762850757393</v>
      </c>
    </row>
    <row r="13" spans="1:10" ht="30" customHeight="1" thickTop="1" thickBot="1" x14ac:dyDescent="0.3">
      <c r="A13" s="136"/>
      <c r="B13" s="43" t="s">
        <v>70</v>
      </c>
      <c r="C13" s="34">
        <v>1</v>
      </c>
      <c r="D13" s="35">
        <v>0</v>
      </c>
      <c r="E13" s="35">
        <v>0</v>
      </c>
      <c r="F13" s="35">
        <v>0</v>
      </c>
      <c r="G13" s="38">
        <v>0</v>
      </c>
      <c r="H13" s="38">
        <v>0</v>
      </c>
      <c r="I13" s="35">
        <f t="shared" si="0"/>
        <v>1</v>
      </c>
      <c r="J13" s="66">
        <f t="shared" si="1"/>
        <v>2.4832381425378695E-2</v>
      </c>
    </row>
    <row r="14" spans="1:10" ht="30" customHeight="1" thickTop="1" thickBot="1" x14ac:dyDescent="0.3">
      <c r="A14" s="131"/>
      <c r="B14" s="43" t="s">
        <v>27</v>
      </c>
      <c r="C14" s="40">
        <v>0</v>
      </c>
      <c r="D14" s="35">
        <v>0</v>
      </c>
      <c r="E14" s="35">
        <v>0</v>
      </c>
      <c r="F14" s="35">
        <v>0</v>
      </c>
      <c r="G14" s="38">
        <v>4</v>
      </c>
      <c r="H14" s="35">
        <v>0</v>
      </c>
      <c r="I14" s="35">
        <f t="shared" si="0"/>
        <v>4</v>
      </c>
      <c r="J14" s="66">
        <f t="shared" si="1"/>
        <v>9.9329525701514779E-2</v>
      </c>
    </row>
    <row r="15" spans="1:10" ht="30" customHeight="1" thickTop="1" thickBot="1" x14ac:dyDescent="0.3">
      <c r="A15" s="43" t="s">
        <v>31</v>
      </c>
      <c r="B15" s="43" t="s">
        <v>32</v>
      </c>
      <c r="C15" s="40">
        <v>3</v>
      </c>
      <c r="D15" s="35">
        <v>0</v>
      </c>
      <c r="E15" s="35">
        <v>0</v>
      </c>
      <c r="F15" s="35">
        <v>0</v>
      </c>
      <c r="G15" s="38">
        <v>0</v>
      </c>
      <c r="H15" s="38">
        <v>0</v>
      </c>
      <c r="I15" s="35">
        <f t="shared" si="0"/>
        <v>3</v>
      </c>
      <c r="J15" s="66">
        <f t="shared" si="1"/>
        <v>7.4497144276136087E-2</v>
      </c>
    </row>
    <row r="16" spans="1:10" ht="16.5" thickTop="1" thickBot="1" x14ac:dyDescent="0.3">
      <c r="A16" s="132" t="s">
        <v>38</v>
      </c>
      <c r="B16" s="132"/>
      <c r="C16" s="38">
        <f t="shared" ref="C16:H16" si="2">SUM(C4:C15)</f>
        <v>52</v>
      </c>
      <c r="D16" s="38">
        <f t="shared" si="2"/>
        <v>0</v>
      </c>
      <c r="E16" s="38">
        <f t="shared" si="2"/>
        <v>2</v>
      </c>
      <c r="F16" s="38">
        <f t="shared" si="2"/>
        <v>224</v>
      </c>
      <c r="G16" s="38">
        <f t="shared" si="2"/>
        <v>3747</v>
      </c>
      <c r="H16" s="38">
        <f t="shared" si="2"/>
        <v>2</v>
      </c>
      <c r="I16" s="38">
        <f>SUM(C4:H15)</f>
        <v>4027</v>
      </c>
      <c r="J16" s="68">
        <f>I16/4027*100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4:A5"/>
    <mergeCell ref="A10:A11"/>
    <mergeCell ref="A12:A14"/>
    <mergeCell ref="A16:B16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 x14ac:dyDescent="0.25"/>
  <cols>
    <col min="2" max="2" width="13.28515625" customWidth="1"/>
    <col min="3" max="3" width="15" customWidth="1"/>
    <col min="8" max="8" width="14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 x14ac:dyDescent="0.3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 x14ac:dyDescent="0.3">
      <c r="B4" s="118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 x14ac:dyDescent="0.3">
      <c r="B5" s="119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 x14ac:dyDescent="0.3">
      <c r="B6" s="118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 x14ac:dyDescent="0.3">
      <c r="B7" s="120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 x14ac:dyDescent="0.3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 x14ac:dyDescent="0.3">
      <c r="B9" s="118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 x14ac:dyDescent="0.3">
      <c r="B10" s="119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 x14ac:dyDescent="0.3">
      <c r="B11" s="118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 x14ac:dyDescent="0.3">
      <c r="B12" s="121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 x14ac:dyDescent="0.3">
      <c r="B13" s="119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61.5" thickTop="1" thickBot="1" x14ac:dyDescent="0.3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 x14ac:dyDescent="0.3">
      <c r="B15" s="116" t="s">
        <v>38</v>
      </c>
      <c r="C15" s="117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 x14ac:dyDescent="0.25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workbookViewId="0">
      <selection activeCell="A19" sqref="A19:B19"/>
    </sheetView>
  </sheetViews>
  <sheetFormatPr baseColWidth="10" defaultRowHeight="15" x14ac:dyDescent="0.25"/>
  <cols>
    <col min="1" max="1" width="23.5703125" customWidth="1"/>
    <col min="2" max="2" width="29.42578125" customWidth="1"/>
    <col min="7" max="7" width="14.42578125" customWidth="1"/>
  </cols>
  <sheetData>
    <row r="4" spans="1:10" ht="15.75" thickBot="1" x14ac:dyDescent="0.3">
      <c r="A4" s="140" t="s">
        <v>73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Top="1" thickBot="1" x14ac:dyDescent="0.3">
      <c r="A5" s="67" t="s">
        <v>0</v>
      </c>
      <c r="B5" s="67" t="s">
        <v>1</v>
      </c>
      <c r="C5" s="67" t="s">
        <v>2</v>
      </c>
      <c r="D5" s="67" t="s">
        <v>3</v>
      </c>
      <c r="E5" s="67" t="s">
        <v>4</v>
      </c>
      <c r="F5" s="67" t="s">
        <v>5</v>
      </c>
      <c r="G5" s="67" t="s">
        <v>6</v>
      </c>
      <c r="H5" s="67" t="s">
        <v>7</v>
      </c>
      <c r="I5" s="67" t="s">
        <v>8</v>
      </c>
      <c r="J5" s="67" t="s">
        <v>9</v>
      </c>
    </row>
    <row r="6" spans="1:10" ht="25.5" thickTop="1" thickBot="1" x14ac:dyDescent="0.3">
      <c r="A6" s="142" t="s">
        <v>57</v>
      </c>
      <c r="B6" s="67" t="s">
        <v>11</v>
      </c>
      <c r="C6" s="98">
        <v>0</v>
      </c>
      <c r="D6" s="98">
        <v>0</v>
      </c>
      <c r="E6" s="98">
        <v>0</v>
      </c>
      <c r="F6" s="99">
        <v>264</v>
      </c>
      <c r="G6" s="99">
        <v>3671</v>
      </c>
      <c r="H6" s="98">
        <v>0</v>
      </c>
      <c r="I6" s="62">
        <f t="shared" ref="I6:I14" si="0">SUM(C6:H6)</f>
        <v>3935</v>
      </c>
      <c r="J6" s="95">
        <f t="shared" ref="J6:J15" si="1">I6/4338*100</f>
        <v>90.710004610419546</v>
      </c>
    </row>
    <row r="7" spans="1:10" ht="25.5" thickTop="1" thickBot="1" x14ac:dyDescent="0.3">
      <c r="A7" s="143"/>
      <c r="B7" s="67" t="s">
        <v>72</v>
      </c>
      <c r="C7" s="98">
        <v>0</v>
      </c>
      <c r="D7" s="98">
        <v>0</v>
      </c>
      <c r="E7" s="98">
        <v>0</v>
      </c>
      <c r="F7" s="99">
        <v>20</v>
      </c>
      <c r="G7" s="99">
        <v>298</v>
      </c>
      <c r="H7" s="98">
        <v>0</v>
      </c>
      <c r="I7" s="62">
        <f t="shared" si="0"/>
        <v>318</v>
      </c>
      <c r="J7" s="95">
        <f t="shared" si="1"/>
        <v>7.3305670816044266</v>
      </c>
    </row>
    <row r="8" spans="1:10" ht="25.5" thickTop="1" thickBot="1" x14ac:dyDescent="0.3">
      <c r="A8" s="96" t="s">
        <v>13</v>
      </c>
      <c r="B8" s="67" t="s">
        <v>14</v>
      </c>
      <c r="C8" s="40">
        <f>1+1+1+3</f>
        <v>6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62">
        <f t="shared" si="0"/>
        <v>6</v>
      </c>
      <c r="J8" s="95">
        <f t="shared" si="1"/>
        <v>0.13831258644536654</v>
      </c>
    </row>
    <row r="9" spans="1:10" ht="37.5" thickTop="1" thickBot="1" x14ac:dyDescent="0.3">
      <c r="A9" s="96" t="s">
        <v>59</v>
      </c>
      <c r="B9" s="67" t="s">
        <v>16</v>
      </c>
      <c r="C9" s="40">
        <v>2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62">
        <f t="shared" si="0"/>
        <v>2</v>
      </c>
      <c r="J9" s="95">
        <f t="shared" si="1"/>
        <v>4.6104195481788839E-2</v>
      </c>
    </row>
    <row r="10" spans="1:10" ht="25.5" thickTop="1" thickBot="1" x14ac:dyDescent="0.3">
      <c r="A10" s="67" t="s">
        <v>17</v>
      </c>
      <c r="B10" s="67" t="s">
        <v>18</v>
      </c>
      <c r="C10" s="40">
        <v>0</v>
      </c>
      <c r="D10" s="98">
        <v>0</v>
      </c>
      <c r="E10" s="98">
        <v>0</v>
      </c>
      <c r="F10" s="98">
        <v>0</v>
      </c>
      <c r="G10" s="98">
        <v>0</v>
      </c>
      <c r="H10" s="38">
        <v>1</v>
      </c>
      <c r="I10" s="62">
        <f t="shared" si="0"/>
        <v>1</v>
      </c>
      <c r="J10" s="95">
        <f t="shared" si="1"/>
        <v>2.3052097740894419E-2</v>
      </c>
    </row>
    <row r="11" spans="1:10" ht="16.5" thickTop="1" thickBot="1" x14ac:dyDescent="0.3">
      <c r="A11" s="142" t="s">
        <v>19</v>
      </c>
      <c r="B11" s="67" t="s">
        <v>20</v>
      </c>
      <c r="C11" s="40">
        <v>10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62">
        <f t="shared" si="0"/>
        <v>10</v>
      </c>
      <c r="J11" s="95">
        <f t="shared" si="1"/>
        <v>0.23052097740894423</v>
      </c>
    </row>
    <row r="12" spans="1:10" ht="16.5" thickTop="1" thickBot="1" x14ac:dyDescent="0.3">
      <c r="A12" s="143"/>
      <c r="B12" s="67" t="s">
        <v>21</v>
      </c>
      <c r="C12" s="34">
        <f>17+2</f>
        <v>19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62">
        <f t="shared" si="0"/>
        <v>19</v>
      </c>
      <c r="J12" s="95">
        <f t="shared" si="1"/>
        <v>0.437989857076994</v>
      </c>
    </row>
    <row r="13" spans="1:10" ht="16.5" thickTop="1" thickBot="1" x14ac:dyDescent="0.3">
      <c r="A13" s="142" t="s">
        <v>26</v>
      </c>
      <c r="B13" s="67" t="s">
        <v>28</v>
      </c>
      <c r="C13" s="34">
        <v>42</v>
      </c>
      <c r="D13" s="38">
        <v>1</v>
      </c>
      <c r="E13" s="38">
        <v>0</v>
      </c>
      <c r="F13" s="38">
        <v>0</v>
      </c>
      <c r="G13" s="38">
        <v>1</v>
      </c>
      <c r="H13" s="98">
        <v>0</v>
      </c>
      <c r="I13" s="62">
        <f t="shared" si="0"/>
        <v>44</v>
      </c>
      <c r="J13" s="95">
        <f t="shared" si="1"/>
        <v>1.0142923005993545</v>
      </c>
    </row>
    <row r="14" spans="1:10" ht="16.5" thickTop="1" thickBot="1" x14ac:dyDescent="0.3">
      <c r="A14" s="143"/>
      <c r="B14" s="67" t="s">
        <v>27</v>
      </c>
      <c r="C14" s="62">
        <v>0</v>
      </c>
      <c r="D14" s="62">
        <v>0</v>
      </c>
      <c r="E14" s="62">
        <v>0</v>
      </c>
      <c r="F14" s="62">
        <v>1</v>
      </c>
      <c r="G14" s="62">
        <v>0</v>
      </c>
      <c r="H14" s="98">
        <v>0</v>
      </c>
      <c r="I14" s="62">
        <f t="shared" si="0"/>
        <v>1</v>
      </c>
      <c r="J14" s="95">
        <f t="shared" si="1"/>
        <v>2.3052097740894419E-2</v>
      </c>
    </row>
    <row r="15" spans="1:10" ht="61.5" thickTop="1" thickBot="1" x14ac:dyDescent="0.3">
      <c r="A15" s="96" t="s">
        <v>31</v>
      </c>
      <c r="B15" s="67" t="s">
        <v>32</v>
      </c>
      <c r="C15" s="40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62">
        <f t="shared" ref="I15" si="2">SUM(C15:H15)</f>
        <v>2</v>
      </c>
      <c r="J15" s="95">
        <f t="shared" si="1"/>
        <v>4.6104195481788839E-2</v>
      </c>
    </row>
    <row r="16" spans="1:10" ht="16.5" thickTop="1" thickBot="1" x14ac:dyDescent="0.3">
      <c r="A16" s="129" t="s">
        <v>38</v>
      </c>
      <c r="B16" s="129"/>
      <c r="C16" s="39">
        <f t="shared" ref="C16:H16" si="3">SUM(C6:C15)</f>
        <v>80</v>
      </c>
      <c r="D16" s="39">
        <f t="shared" si="3"/>
        <v>1</v>
      </c>
      <c r="E16" s="39">
        <f t="shared" si="3"/>
        <v>0</v>
      </c>
      <c r="F16" s="39">
        <f t="shared" si="3"/>
        <v>285</v>
      </c>
      <c r="G16" s="39">
        <f t="shared" si="3"/>
        <v>3970</v>
      </c>
      <c r="H16" s="39">
        <f t="shared" si="3"/>
        <v>2</v>
      </c>
      <c r="I16" s="39">
        <f>SUM(C6:H15)</f>
        <v>4338</v>
      </c>
      <c r="J16" s="97">
        <f>I16/4338*100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6:A7"/>
    <mergeCell ref="A11:A12"/>
    <mergeCell ref="A13:A14"/>
    <mergeCell ref="A16:B16"/>
    <mergeCell ref="A4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opLeftCell="A7" workbookViewId="0">
      <selection activeCell="A23" sqref="A23:B23"/>
    </sheetView>
  </sheetViews>
  <sheetFormatPr baseColWidth="10" defaultRowHeight="15" x14ac:dyDescent="0.25"/>
  <cols>
    <col min="1" max="1" width="18.28515625" customWidth="1"/>
    <col min="2" max="2" width="19.5703125" customWidth="1"/>
    <col min="7" max="7" width="12.42578125" customWidth="1"/>
    <col min="8" max="8" width="10.5703125" customWidth="1"/>
    <col min="9" max="9" width="8.85546875" customWidth="1"/>
    <col min="10" max="10" width="6.28515625" customWidth="1"/>
  </cols>
  <sheetData>
    <row r="3" spans="1:10" ht="15.75" thickBot="1" x14ac:dyDescent="0.3">
      <c r="A3" s="140" t="s">
        <v>78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6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1.75" customHeight="1" thickTop="1" thickBot="1" x14ac:dyDescent="0.3">
      <c r="A5" s="142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216</v>
      </c>
      <c r="G5" s="35">
        <v>3627</v>
      </c>
      <c r="H5" s="35">
        <v>0</v>
      </c>
      <c r="I5" s="35">
        <f t="shared" ref="I5:I19" si="0">SUM(C5:H5)</f>
        <v>3843</v>
      </c>
      <c r="J5" s="95">
        <f t="shared" ref="J5:J19" si="1">I5/4269*100</f>
        <v>90.021082220660574</v>
      </c>
    </row>
    <row r="6" spans="1:10" ht="25.5" thickTop="1" thickBot="1" x14ac:dyDescent="0.3">
      <c r="A6" s="143"/>
      <c r="B6" s="67" t="s">
        <v>72</v>
      </c>
      <c r="C6" s="34">
        <v>1</v>
      </c>
      <c r="D6" s="35">
        <v>0</v>
      </c>
      <c r="E6" s="35">
        <v>1</v>
      </c>
      <c r="F6" s="35">
        <v>15</v>
      </c>
      <c r="G6" s="35">
        <v>293</v>
      </c>
      <c r="H6" s="35">
        <v>0</v>
      </c>
      <c r="I6" s="35">
        <f t="shared" si="0"/>
        <v>310</v>
      </c>
      <c r="J6" s="95">
        <f t="shared" si="1"/>
        <v>7.2616537830873735</v>
      </c>
    </row>
    <row r="7" spans="1:10" ht="37.5" thickTop="1" thickBot="1" x14ac:dyDescent="0.3">
      <c r="A7" s="96" t="s">
        <v>13</v>
      </c>
      <c r="B7" s="67" t="s">
        <v>14</v>
      </c>
      <c r="C7" s="40">
        <f>7+3+1</f>
        <v>11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8">
        <f t="shared" si="0"/>
        <v>11</v>
      </c>
      <c r="J7" s="95">
        <f t="shared" si="1"/>
        <v>0.25767158585148747</v>
      </c>
    </row>
    <row r="8" spans="1:10" ht="49.5" thickTop="1" thickBot="1" x14ac:dyDescent="0.3">
      <c r="A8" s="96" t="s">
        <v>59</v>
      </c>
      <c r="B8" s="67" t="s">
        <v>74</v>
      </c>
      <c r="C8" s="40">
        <v>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8">
        <f t="shared" si="0"/>
        <v>1</v>
      </c>
      <c r="J8" s="95">
        <f t="shared" si="1"/>
        <v>2.3424689622862496E-2</v>
      </c>
    </row>
    <row r="9" spans="1:10" ht="16.5" thickTop="1" thickBot="1" x14ac:dyDescent="0.3">
      <c r="A9" s="142" t="s">
        <v>19</v>
      </c>
      <c r="B9" s="67" t="s">
        <v>20</v>
      </c>
      <c r="C9" s="40">
        <v>8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8</v>
      </c>
      <c r="J9" s="95">
        <f t="shared" si="1"/>
        <v>0.18739751698289997</v>
      </c>
    </row>
    <row r="10" spans="1:10" ht="16.5" thickTop="1" thickBot="1" x14ac:dyDescent="0.3">
      <c r="A10" s="144"/>
      <c r="B10" s="67" t="s">
        <v>21</v>
      </c>
      <c r="C10" s="34">
        <f>20+5+1</f>
        <v>26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f t="shared" si="0"/>
        <v>26</v>
      </c>
      <c r="J10" s="95">
        <f t="shared" si="1"/>
        <v>0.60904193019442487</v>
      </c>
    </row>
    <row r="11" spans="1:10" ht="16.5" thickTop="1" thickBot="1" x14ac:dyDescent="0.3">
      <c r="A11" s="144"/>
      <c r="B11" s="67" t="s">
        <v>75</v>
      </c>
      <c r="C11" s="34">
        <v>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f t="shared" si="0"/>
        <v>1</v>
      </c>
      <c r="J11" s="95">
        <f t="shared" si="1"/>
        <v>2.3424689622862496E-2</v>
      </c>
    </row>
    <row r="12" spans="1:10" ht="16.5" thickTop="1" thickBot="1" x14ac:dyDescent="0.3">
      <c r="A12" s="143"/>
      <c r="B12" s="67" t="s">
        <v>76</v>
      </c>
      <c r="C12" s="34">
        <v>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0"/>
        <v>1</v>
      </c>
      <c r="J12" s="95">
        <f t="shared" si="1"/>
        <v>2.3424689622862496E-2</v>
      </c>
    </row>
    <row r="13" spans="1:10" ht="39.75" customHeight="1" thickTop="1" thickBot="1" x14ac:dyDescent="0.3">
      <c r="A13" s="43" t="s">
        <v>24</v>
      </c>
      <c r="B13" s="43" t="s">
        <v>68</v>
      </c>
      <c r="C13" s="40">
        <v>0</v>
      </c>
      <c r="D13" s="38">
        <v>0</v>
      </c>
      <c r="E13" s="38">
        <v>1</v>
      </c>
      <c r="F13" s="35">
        <v>0</v>
      </c>
      <c r="G13" s="35">
        <v>0</v>
      </c>
      <c r="H13" s="35">
        <v>0</v>
      </c>
      <c r="I13" s="38">
        <f t="shared" si="0"/>
        <v>1</v>
      </c>
      <c r="J13" s="95">
        <f t="shared" si="1"/>
        <v>2.3424689622862496E-2</v>
      </c>
    </row>
    <row r="14" spans="1:10" ht="16.5" thickTop="1" thickBot="1" x14ac:dyDescent="0.3">
      <c r="A14" s="142" t="s">
        <v>26</v>
      </c>
      <c r="B14" s="67" t="s">
        <v>28</v>
      </c>
      <c r="C14" s="34">
        <f>48+3</f>
        <v>51</v>
      </c>
      <c r="D14" s="38">
        <v>1</v>
      </c>
      <c r="E14" s="38">
        <v>5</v>
      </c>
      <c r="F14" s="38">
        <v>1</v>
      </c>
      <c r="G14" s="35">
        <v>0</v>
      </c>
      <c r="H14" s="38">
        <v>1</v>
      </c>
      <c r="I14" s="38">
        <f t="shared" si="0"/>
        <v>59</v>
      </c>
      <c r="J14" s="95">
        <f t="shared" si="1"/>
        <v>1.3820566877488873</v>
      </c>
    </row>
    <row r="15" spans="1:10" ht="16.5" thickTop="1" thickBot="1" x14ac:dyDescent="0.3">
      <c r="A15" s="144"/>
      <c r="B15" s="67" t="s">
        <v>77</v>
      </c>
      <c r="C15" s="40">
        <v>1</v>
      </c>
      <c r="D15" s="38">
        <v>0</v>
      </c>
      <c r="E15" s="38">
        <v>0</v>
      </c>
      <c r="F15" s="35">
        <v>0</v>
      </c>
      <c r="G15" s="35">
        <v>0</v>
      </c>
      <c r="H15" s="38">
        <v>0</v>
      </c>
      <c r="I15" s="38">
        <f t="shared" si="0"/>
        <v>1</v>
      </c>
      <c r="J15" s="95">
        <f t="shared" si="1"/>
        <v>2.3424689622862496E-2</v>
      </c>
    </row>
    <row r="16" spans="1:10" ht="16.5" thickTop="1" thickBot="1" x14ac:dyDescent="0.3">
      <c r="A16" s="144"/>
      <c r="B16" s="43" t="s">
        <v>37</v>
      </c>
      <c r="C16" s="40">
        <v>0</v>
      </c>
      <c r="D16" s="38">
        <v>0</v>
      </c>
      <c r="E16" s="38">
        <v>1</v>
      </c>
      <c r="F16" s="35">
        <v>0</v>
      </c>
      <c r="G16" s="35">
        <v>0</v>
      </c>
      <c r="H16" s="38">
        <v>0</v>
      </c>
      <c r="I16" s="38">
        <f t="shared" si="0"/>
        <v>1</v>
      </c>
      <c r="J16" s="95">
        <f t="shared" si="1"/>
        <v>2.3424689622862496E-2</v>
      </c>
    </row>
    <row r="17" spans="1:10" ht="25.5" thickTop="1" thickBot="1" x14ac:dyDescent="0.3">
      <c r="A17" s="143"/>
      <c r="B17" s="67" t="s">
        <v>27</v>
      </c>
      <c r="C17" s="40">
        <v>0</v>
      </c>
      <c r="D17" s="38">
        <v>0</v>
      </c>
      <c r="E17" s="35">
        <v>0</v>
      </c>
      <c r="F17" s="35">
        <v>0</v>
      </c>
      <c r="G17" s="38">
        <v>1</v>
      </c>
      <c r="H17" s="38">
        <v>0</v>
      </c>
      <c r="I17" s="38">
        <f t="shared" si="0"/>
        <v>1</v>
      </c>
      <c r="J17" s="95">
        <f t="shared" si="1"/>
        <v>2.3424689622862496E-2</v>
      </c>
    </row>
    <row r="18" spans="1:10" ht="37.5" thickTop="1" thickBot="1" x14ac:dyDescent="0.3">
      <c r="A18" s="43" t="s">
        <v>29</v>
      </c>
      <c r="B18" s="43" t="s">
        <v>30</v>
      </c>
      <c r="C18" s="40">
        <v>0</v>
      </c>
      <c r="D18" s="38">
        <v>0</v>
      </c>
      <c r="E18" s="35">
        <v>0</v>
      </c>
      <c r="F18" s="35">
        <v>0</v>
      </c>
      <c r="G18" s="38">
        <v>0</v>
      </c>
      <c r="H18" s="38">
        <v>1</v>
      </c>
      <c r="I18" s="38">
        <f t="shared" si="0"/>
        <v>1</v>
      </c>
      <c r="J18" s="95">
        <f t="shared" si="1"/>
        <v>2.3424689622862496E-2</v>
      </c>
    </row>
    <row r="19" spans="1:10" ht="54" customHeight="1" thickTop="1" thickBot="1" x14ac:dyDescent="0.3">
      <c r="A19" s="96" t="s">
        <v>31</v>
      </c>
      <c r="B19" s="67" t="s">
        <v>32</v>
      </c>
      <c r="C19" s="40">
        <v>3</v>
      </c>
      <c r="D19" s="38">
        <v>0</v>
      </c>
      <c r="E19" s="35">
        <v>0</v>
      </c>
      <c r="F19" s="35">
        <v>0</v>
      </c>
      <c r="G19" s="38">
        <v>0</v>
      </c>
      <c r="H19" s="38">
        <v>1</v>
      </c>
      <c r="I19" s="38">
        <f t="shared" si="0"/>
        <v>4</v>
      </c>
      <c r="J19" s="95">
        <f t="shared" si="1"/>
        <v>9.3698758491449985E-2</v>
      </c>
    </row>
    <row r="20" spans="1:10" ht="16.5" thickTop="1" thickBot="1" x14ac:dyDescent="0.3">
      <c r="A20" s="129" t="s">
        <v>38</v>
      </c>
      <c r="B20" s="129"/>
      <c r="C20" s="39">
        <f t="shared" ref="C20:H20" si="2">SUM(C5:C19)</f>
        <v>104</v>
      </c>
      <c r="D20" s="39">
        <f t="shared" si="2"/>
        <v>1</v>
      </c>
      <c r="E20" s="39">
        <f t="shared" si="2"/>
        <v>8</v>
      </c>
      <c r="F20" s="39">
        <f t="shared" si="2"/>
        <v>232</v>
      </c>
      <c r="G20" s="39">
        <f t="shared" si="2"/>
        <v>3921</v>
      </c>
      <c r="H20" s="39">
        <f t="shared" si="2"/>
        <v>3</v>
      </c>
      <c r="I20" s="39">
        <f>SUM(C5:H19)</f>
        <v>4269</v>
      </c>
      <c r="J20" s="97">
        <f>I20/4269*100</f>
        <v>100</v>
      </c>
    </row>
    <row r="21" spans="1:10" ht="15.75" thickTop="1" x14ac:dyDescent="0.25"/>
    <row r="23" spans="1:10" x14ac:dyDescent="0.25">
      <c r="A23" s="77" t="s">
        <v>55</v>
      </c>
      <c r="B23" s="77" t="s">
        <v>60</v>
      </c>
    </row>
  </sheetData>
  <mergeCells count="5">
    <mergeCell ref="A5:A6"/>
    <mergeCell ref="A9:A12"/>
    <mergeCell ref="A14:A17"/>
    <mergeCell ref="A20:B20"/>
    <mergeCell ref="A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opLeftCell="A4" workbookViewId="0">
      <selection activeCell="A19" sqref="A19:B19"/>
    </sheetView>
  </sheetViews>
  <sheetFormatPr baseColWidth="10" defaultRowHeight="15" x14ac:dyDescent="0.25"/>
  <cols>
    <col min="1" max="1" width="16.42578125" customWidth="1"/>
    <col min="2" max="2" width="19.5703125" customWidth="1"/>
    <col min="7" max="7" width="13" customWidth="1"/>
  </cols>
  <sheetData>
    <row r="3" spans="1:10" ht="15.75" thickBot="1" x14ac:dyDescent="0.3">
      <c r="A3" s="140" t="s">
        <v>80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 x14ac:dyDescent="0.3">
      <c r="A5" s="142" t="s">
        <v>57</v>
      </c>
      <c r="B5" s="67" t="s">
        <v>79</v>
      </c>
      <c r="C5" s="34">
        <v>1</v>
      </c>
      <c r="D5" s="35">
        <v>0</v>
      </c>
      <c r="E5" s="35">
        <v>0</v>
      </c>
      <c r="F5" s="38">
        <v>0</v>
      </c>
      <c r="G5" s="38">
        <v>0</v>
      </c>
      <c r="H5" s="35">
        <v>0</v>
      </c>
      <c r="I5" s="35">
        <f t="shared" ref="I5:I16" si="0">SUM(C5:H5)</f>
        <v>1</v>
      </c>
      <c r="J5" s="95">
        <f t="shared" ref="J5:J16" si="1">I5/3698*100</f>
        <v>2.7041644131963225E-2</v>
      </c>
    </row>
    <row r="6" spans="1:10" ht="37.5" thickTop="1" thickBot="1" x14ac:dyDescent="0.3">
      <c r="A6" s="144"/>
      <c r="B6" s="67" t="s">
        <v>11</v>
      </c>
      <c r="C6" s="34">
        <v>1</v>
      </c>
      <c r="D6" s="35">
        <v>0</v>
      </c>
      <c r="E6" s="35">
        <v>1</v>
      </c>
      <c r="F6" s="35">
        <v>187</v>
      </c>
      <c r="G6" s="35">
        <v>3143</v>
      </c>
      <c r="H6" s="35">
        <v>0</v>
      </c>
      <c r="I6" s="35">
        <f t="shared" si="0"/>
        <v>3332</v>
      </c>
      <c r="J6" s="95">
        <f t="shared" si="1"/>
        <v>90.102758247701459</v>
      </c>
    </row>
    <row r="7" spans="1:10" ht="25.5" thickTop="1" thickBot="1" x14ac:dyDescent="0.3">
      <c r="A7" s="143"/>
      <c r="B7" s="67" t="s">
        <v>72</v>
      </c>
      <c r="C7" s="34">
        <v>0</v>
      </c>
      <c r="D7" s="35">
        <v>0</v>
      </c>
      <c r="E7" s="35">
        <v>0</v>
      </c>
      <c r="F7" s="35">
        <v>10</v>
      </c>
      <c r="G7" s="35">
        <v>242</v>
      </c>
      <c r="H7" s="35">
        <v>0</v>
      </c>
      <c r="I7" s="35">
        <f t="shared" si="0"/>
        <v>252</v>
      </c>
      <c r="J7" s="95">
        <f t="shared" si="1"/>
        <v>6.8144943212547329</v>
      </c>
    </row>
    <row r="8" spans="1:10" ht="25.5" thickTop="1" thickBot="1" x14ac:dyDescent="0.3">
      <c r="A8" s="142" t="s">
        <v>13</v>
      </c>
      <c r="B8" s="67" t="s">
        <v>36</v>
      </c>
      <c r="C8" s="34">
        <v>0</v>
      </c>
      <c r="D8" s="35">
        <v>0</v>
      </c>
      <c r="E8" s="35">
        <v>0</v>
      </c>
      <c r="F8" s="38">
        <v>0</v>
      </c>
      <c r="G8" s="38">
        <v>0</v>
      </c>
      <c r="H8" s="38">
        <v>1</v>
      </c>
      <c r="I8" s="38">
        <f t="shared" si="0"/>
        <v>1</v>
      </c>
      <c r="J8" s="95">
        <f t="shared" si="1"/>
        <v>2.7041644131963225E-2</v>
      </c>
    </row>
    <row r="9" spans="1:10" ht="25.5" thickTop="1" thickBot="1" x14ac:dyDescent="0.3">
      <c r="A9" s="143"/>
      <c r="B9" s="67" t="s">
        <v>14</v>
      </c>
      <c r="C9" s="34">
        <f>1+6+12</f>
        <v>19</v>
      </c>
      <c r="D9" s="35">
        <v>0</v>
      </c>
      <c r="E9" s="35">
        <v>0</v>
      </c>
      <c r="F9" s="38">
        <v>0</v>
      </c>
      <c r="G9" s="38">
        <v>0</v>
      </c>
      <c r="H9" s="38">
        <v>2</v>
      </c>
      <c r="I9" s="38">
        <f t="shared" si="0"/>
        <v>21</v>
      </c>
      <c r="J9" s="95">
        <f t="shared" si="1"/>
        <v>0.56787452677122763</v>
      </c>
    </row>
    <row r="10" spans="1:10" ht="61.5" thickTop="1" thickBot="1" x14ac:dyDescent="0.3">
      <c r="A10" s="100" t="s">
        <v>59</v>
      </c>
      <c r="B10" s="43" t="s">
        <v>16</v>
      </c>
      <c r="C10" s="34">
        <v>0</v>
      </c>
      <c r="D10" s="38">
        <v>0</v>
      </c>
      <c r="E10" s="38">
        <v>0</v>
      </c>
      <c r="F10" s="38">
        <v>0</v>
      </c>
      <c r="G10" s="38">
        <v>18</v>
      </c>
      <c r="H10" s="38">
        <v>0</v>
      </c>
      <c r="I10" s="38">
        <f t="shared" si="0"/>
        <v>18</v>
      </c>
      <c r="J10" s="95">
        <f t="shared" si="1"/>
        <v>0.48674959437533805</v>
      </c>
    </row>
    <row r="11" spans="1:10" ht="16.5" thickTop="1" thickBot="1" x14ac:dyDescent="0.3">
      <c r="A11" s="142" t="s">
        <v>19</v>
      </c>
      <c r="B11" s="67" t="s">
        <v>20</v>
      </c>
      <c r="C11" s="34">
        <f>7+1</f>
        <v>8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9</v>
      </c>
      <c r="J11" s="95">
        <f t="shared" si="1"/>
        <v>0.24337479718766902</v>
      </c>
    </row>
    <row r="12" spans="1:10" ht="16.5" thickTop="1" thickBot="1" x14ac:dyDescent="0.3">
      <c r="A12" s="143"/>
      <c r="B12" s="67" t="s">
        <v>21</v>
      </c>
      <c r="C12" s="34">
        <f>3+16+1</f>
        <v>20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20</v>
      </c>
      <c r="J12" s="95">
        <f t="shared" si="1"/>
        <v>0.54083288263926443</v>
      </c>
    </row>
    <row r="13" spans="1:10" ht="16.5" thickTop="1" thickBot="1" x14ac:dyDescent="0.3">
      <c r="A13" s="101" t="s">
        <v>22</v>
      </c>
      <c r="B13" s="43" t="s">
        <v>23</v>
      </c>
      <c r="C13" s="34">
        <v>4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4</v>
      </c>
      <c r="J13" s="95">
        <f t="shared" si="1"/>
        <v>0.1081665765278529</v>
      </c>
    </row>
    <row r="14" spans="1:10" ht="16.5" thickTop="1" thickBot="1" x14ac:dyDescent="0.3">
      <c r="A14" s="142" t="s">
        <v>26</v>
      </c>
      <c r="B14" s="67" t="s">
        <v>28</v>
      </c>
      <c r="C14" s="34">
        <f>32+1</f>
        <v>33</v>
      </c>
      <c r="D14" s="38">
        <v>1</v>
      </c>
      <c r="E14" s="38">
        <v>1</v>
      </c>
      <c r="F14" s="38">
        <v>1</v>
      </c>
      <c r="G14" s="38">
        <v>0</v>
      </c>
      <c r="H14" s="38">
        <v>0</v>
      </c>
      <c r="I14" s="38">
        <f t="shared" si="0"/>
        <v>36</v>
      </c>
      <c r="J14" s="95">
        <f t="shared" si="1"/>
        <v>0.97349918875067609</v>
      </c>
    </row>
    <row r="15" spans="1:10" ht="35.25" customHeight="1" thickTop="1" thickBot="1" x14ac:dyDescent="0.3">
      <c r="A15" s="143"/>
      <c r="B15" s="67" t="s">
        <v>77</v>
      </c>
      <c r="C15" s="34">
        <v>2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f t="shared" si="0"/>
        <v>2</v>
      </c>
      <c r="J15" s="95">
        <f t="shared" si="1"/>
        <v>5.408328826392645E-2</v>
      </c>
    </row>
    <row r="16" spans="1:10" ht="37.5" thickTop="1" thickBot="1" x14ac:dyDescent="0.3">
      <c r="A16" s="43" t="s">
        <v>29</v>
      </c>
      <c r="B16" s="43" t="s">
        <v>30</v>
      </c>
      <c r="C16" s="34">
        <v>1</v>
      </c>
      <c r="D16" s="38">
        <v>0</v>
      </c>
      <c r="E16" s="38">
        <v>0</v>
      </c>
      <c r="F16" s="38">
        <v>0</v>
      </c>
      <c r="G16" s="38">
        <v>0</v>
      </c>
      <c r="H16" s="38">
        <v>1</v>
      </c>
      <c r="I16" s="38">
        <f t="shared" si="0"/>
        <v>2</v>
      </c>
      <c r="J16" s="95">
        <f t="shared" si="1"/>
        <v>5.408328826392645E-2</v>
      </c>
    </row>
    <row r="17" spans="1:10" ht="16.5" thickTop="1" thickBot="1" x14ac:dyDescent="0.3">
      <c r="A17" s="129" t="s">
        <v>38</v>
      </c>
      <c r="B17" s="129"/>
      <c r="C17" s="39">
        <f t="shared" ref="C17:H17" si="2">SUM(C5:C16)</f>
        <v>89</v>
      </c>
      <c r="D17" s="39">
        <f t="shared" si="2"/>
        <v>1</v>
      </c>
      <c r="E17" s="39">
        <f t="shared" si="2"/>
        <v>3</v>
      </c>
      <c r="F17" s="39">
        <f t="shared" si="2"/>
        <v>198</v>
      </c>
      <c r="G17" s="39">
        <f t="shared" si="2"/>
        <v>3403</v>
      </c>
      <c r="H17" s="39">
        <f t="shared" si="2"/>
        <v>4</v>
      </c>
      <c r="I17" s="39">
        <f>SUM(C5:H16)</f>
        <v>3698</v>
      </c>
      <c r="J17" s="97">
        <f>I17/3698*100</f>
        <v>100</v>
      </c>
    </row>
    <row r="18" spans="1:10" ht="15.75" thickTop="1" x14ac:dyDescent="0.25"/>
    <row r="19" spans="1:10" x14ac:dyDescent="0.25">
      <c r="A19" s="77" t="s">
        <v>55</v>
      </c>
      <c r="B19" s="77" t="s">
        <v>60</v>
      </c>
    </row>
  </sheetData>
  <mergeCells count="6">
    <mergeCell ref="A17:B17"/>
    <mergeCell ref="A3:J3"/>
    <mergeCell ref="A5:A7"/>
    <mergeCell ref="A8:A9"/>
    <mergeCell ref="A11:A12"/>
    <mergeCell ref="A14:A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opLeftCell="A10" workbookViewId="0">
      <selection activeCell="A18" sqref="A18:B18"/>
    </sheetView>
  </sheetViews>
  <sheetFormatPr baseColWidth="10" defaultRowHeight="15" x14ac:dyDescent="0.25"/>
  <cols>
    <col min="1" max="1" width="14" customWidth="1"/>
    <col min="2" max="2" width="19.42578125" customWidth="1"/>
    <col min="10" max="10" width="9.28515625" customWidth="1"/>
  </cols>
  <sheetData>
    <row r="2" spans="1:10" ht="15.75" thickBot="1" x14ac:dyDescent="0.3"/>
    <row r="3" spans="1:10" ht="16.5" thickTop="1" thickBot="1" x14ac:dyDescent="0.3">
      <c r="A3" s="145" t="s">
        <v>81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3.25" customHeight="1" thickTop="1" thickBot="1" x14ac:dyDescent="0.3">
      <c r="A5" s="142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206</v>
      </c>
      <c r="G5" s="35">
        <v>4106</v>
      </c>
      <c r="H5" s="35">
        <v>0</v>
      </c>
      <c r="I5" s="35">
        <f>SUM(C5:H5)</f>
        <v>4312</v>
      </c>
      <c r="J5" s="95">
        <f t="shared" ref="J5:J14" si="0">I5/4691*100</f>
        <v>91.920699211255595</v>
      </c>
    </row>
    <row r="6" spans="1:10" ht="25.5" thickTop="1" thickBot="1" x14ac:dyDescent="0.3">
      <c r="A6" s="143"/>
      <c r="B6" s="67" t="s">
        <v>72</v>
      </c>
      <c r="C6" s="34">
        <v>0</v>
      </c>
      <c r="D6" s="35">
        <v>0</v>
      </c>
      <c r="E6" s="35">
        <v>0</v>
      </c>
      <c r="F6" s="35">
        <v>13</v>
      </c>
      <c r="G6" s="35">
        <v>258</v>
      </c>
      <c r="H6" s="35">
        <v>0</v>
      </c>
      <c r="I6" s="35">
        <f>SUM(C6:H6)</f>
        <v>271</v>
      </c>
      <c r="J6" s="95">
        <f t="shared" si="0"/>
        <v>5.7770198251971863</v>
      </c>
    </row>
    <row r="7" spans="1:10" ht="40.5" customHeight="1" thickTop="1" thickBot="1" x14ac:dyDescent="0.3">
      <c r="A7" s="102" t="s">
        <v>13</v>
      </c>
      <c r="B7" s="67" t="s">
        <v>14</v>
      </c>
      <c r="C7" s="34">
        <f>2+1+3</f>
        <v>6</v>
      </c>
      <c r="D7" s="38">
        <v>0</v>
      </c>
      <c r="E7" s="38">
        <v>1</v>
      </c>
      <c r="F7" s="38">
        <v>0</v>
      </c>
      <c r="G7" s="38">
        <v>0</v>
      </c>
      <c r="H7" s="35">
        <v>0</v>
      </c>
      <c r="I7" s="38">
        <f>SUM(C7:H7)</f>
        <v>7</v>
      </c>
      <c r="J7" s="95">
        <f t="shared" si="0"/>
        <v>0.14922191430398635</v>
      </c>
    </row>
    <row r="8" spans="1:10" ht="69.75" customHeight="1" thickTop="1" thickBot="1" x14ac:dyDescent="0.3">
      <c r="A8" s="102" t="s">
        <v>59</v>
      </c>
      <c r="B8" s="43" t="s">
        <v>16</v>
      </c>
      <c r="C8" s="34">
        <v>0</v>
      </c>
      <c r="D8" s="38">
        <v>0</v>
      </c>
      <c r="E8" s="38">
        <v>0</v>
      </c>
      <c r="F8" s="38">
        <v>0</v>
      </c>
      <c r="G8" s="38">
        <v>6</v>
      </c>
      <c r="H8" s="35">
        <v>0</v>
      </c>
      <c r="I8" s="38">
        <f t="shared" ref="I8:I14" si="1">SUM(C8:H8)</f>
        <v>6</v>
      </c>
      <c r="J8" s="95">
        <f t="shared" si="0"/>
        <v>0.12790449797484546</v>
      </c>
    </row>
    <row r="9" spans="1:10" ht="33.75" customHeight="1" thickTop="1" thickBot="1" x14ac:dyDescent="0.3">
      <c r="A9" s="142" t="s">
        <v>19</v>
      </c>
      <c r="B9" s="67" t="s">
        <v>20</v>
      </c>
      <c r="C9" s="34">
        <v>4</v>
      </c>
      <c r="D9" s="38">
        <v>0</v>
      </c>
      <c r="E9" s="38">
        <v>1</v>
      </c>
      <c r="F9" s="38">
        <v>0</v>
      </c>
      <c r="G9" s="38">
        <v>0</v>
      </c>
      <c r="H9" s="35">
        <v>0</v>
      </c>
      <c r="I9" s="38">
        <f t="shared" si="1"/>
        <v>5</v>
      </c>
      <c r="J9" s="95">
        <f t="shared" si="0"/>
        <v>0.10658708164570455</v>
      </c>
    </row>
    <row r="10" spans="1:10" ht="33" customHeight="1" thickTop="1" thickBot="1" x14ac:dyDescent="0.3">
      <c r="A10" s="143"/>
      <c r="B10" s="67" t="s">
        <v>21</v>
      </c>
      <c r="C10" s="34">
        <f>15+5+1</f>
        <v>21</v>
      </c>
      <c r="D10" s="38">
        <v>0</v>
      </c>
      <c r="E10" s="35">
        <v>0</v>
      </c>
      <c r="F10" s="38">
        <v>0</v>
      </c>
      <c r="G10" s="35">
        <v>0</v>
      </c>
      <c r="H10" s="35">
        <v>0</v>
      </c>
      <c r="I10" s="35">
        <f t="shared" si="1"/>
        <v>21</v>
      </c>
      <c r="J10" s="95">
        <f t="shared" si="0"/>
        <v>0.4476657429119591</v>
      </c>
    </row>
    <row r="11" spans="1:10" ht="32.25" customHeight="1" thickTop="1" thickBot="1" x14ac:dyDescent="0.3">
      <c r="A11" s="103" t="s">
        <v>22</v>
      </c>
      <c r="B11" s="43" t="s">
        <v>23</v>
      </c>
      <c r="C11" s="34">
        <v>2</v>
      </c>
      <c r="D11" s="38">
        <v>0</v>
      </c>
      <c r="E11" s="38">
        <v>0</v>
      </c>
      <c r="F11" s="38">
        <v>0</v>
      </c>
      <c r="G11" s="38">
        <v>0</v>
      </c>
      <c r="H11" s="35">
        <v>0</v>
      </c>
      <c r="I11" s="35">
        <f t="shared" si="1"/>
        <v>2</v>
      </c>
      <c r="J11" s="95">
        <f t="shared" si="0"/>
        <v>4.2634832658281815E-2</v>
      </c>
    </row>
    <row r="12" spans="1:10" ht="55.5" customHeight="1" thickTop="1" thickBot="1" x14ac:dyDescent="0.3">
      <c r="A12" s="142" t="s">
        <v>26</v>
      </c>
      <c r="B12" s="67" t="s">
        <v>28</v>
      </c>
      <c r="C12" s="34">
        <f>46+3+1</f>
        <v>50</v>
      </c>
      <c r="D12" s="38">
        <v>0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51</v>
      </c>
      <c r="J12" s="95">
        <f t="shared" si="0"/>
        <v>1.0871882327861864</v>
      </c>
    </row>
    <row r="13" spans="1:10" ht="65.25" customHeight="1" thickTop="1" thickBot="1" x14ac:dyDescent="0.3">
      <c r="A13" s="143"/>
      <c r="B13" s="67" t="s">
        <v>27</v>
      </c>
      <c r="C13" s="34">
        <v>0</v>
      </c>
      <c r="D13" s="38">
        <v>0</v>
      </c>
      <c r="E13" s="38">
        <v>0</v>
      </c>
      <c r="F13" s="38">
        <v>1</v>
      </c>
      <c r="G13" s="38">
        <v>9</v>
      </c>
      <c r="H13" s="35">
        <v>0</v>
      </c>
      <c r="I13" s="38">
        <f t="shared" si="1"/>
        <v>10</v>
      </c>
      <c r="J13" s="95">
        <f t="shared" si="0"/>
        <v>0.21317416329140909</v>
      </c>
    </row>
    <row r="14" spans="1:10" ht="57" customHeight="1" thickTop="1" thickBot="1" x14ac:dyDescent="0.3">
      <c r="A14" s="43" t="s">
        <v>29</v>
      </c>
      <c r="B14" s="43" t="s">
        <v>30</v>
      </c>
      <c r="C14" s="34">
        <v>2</v>
      </c>
      <c r="D14" s="38">
        <v>0</v>
      </c>
      <c r="E14" s="38">
        <v>0</v>
      </c>
      <c r="F14" s="38">
        <v>0</v>
      </c>
      <c r="G14" s="38">
        <v>0</v>
      </c>
      <c r="H14" s="38">
        <v>4</v>
      </c>
      <c r="I14" s="38">
        <f t="shared" si="1"/>
        <v>6</v>
      </c>
      <c r="J14" s="95">
        <f t="shared" si="0"/>
        <v>0.12790449797484546</v>
      </c>
    </row>
    <row r="15" spans="1:10" ht="16.5" thickTop="1" thickBot="1" x14ac:dyDescent="0.3">
      <c r="A15" s="129" t="s">
        <v>38</v>
      </c>
      <c r="B15" s="129"/>
      <c r="C15" s="39">
        <f t="shared" ref="C15:H15" si="2">SUM(C5:C14)</f>
        <v>85</v>
      </c>
      <c r="D15" s="39">
        <f t="shared" si="2"/>
        <v>0</v>
      </c>
      <c r="E15" s="39">
        <f t="shared" si="2"/>
        <v>3</v>
      </c>
      <c r="F15" s="39">
        <f t="shared" si="2"/>
        <v>220</v>
      </c>
      <c r="G15" s="39">
        <f t="shared" si="2"/>
        <v>4379</v>
      </c>
      <c r="H15" s="39">
        <f t="shared" si="2"/>
        <v>4</v>
      </c>
      <c r="I15" s="39">
        <f>SUM(C5:H14)</f>
        <v>4691</v>
      </c>
      <c r="J15" s="97">
        <f>I15/4691*100</f>
        <v>100</v>
      </c>
    </row>
    <row r="16" spans="1:10" ht="15.75" thickTop="1" x14ac:dyDescent="0.25"/>
    <row r="18" spans="1:2" x14ac:dyDescent="0.25">
      <c r="A18" s="77" t="s">
        <v>55</v>
      </c>
      <c r="B18" s="77" t="s">
        <v>60</v>
      </c>
    </row>
  </sheetData>
  <mergeCells count="5">
    <mergeCell ref="A5:A6"/>
    <mergeCell ref="A9:A10"/>
    <mergeCell ref="A12:A13"/>
    <mergeCell ref="A15:B15"/>
    <mergeCell ref="A3:J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opLeftCell="A13" workbookViewId="0">
      <selection activeCell="G36" sqref="G36"/>
    </sheetView>
  </sheetViews>
  <sheetFormatPr baseColWidth="10" defaultRowHeight="15" x14ac:dyDescent="0.25"/>
  <cols>
    <col min="1" max="1" width="15.5703125" customWidth="1"/>
    <col min="2" max="2" width="18.28515625" customWidth="1"/>
    <col min="7" max="7" width="13" customWidth="1"/>
    <col min="10" max="10" width="10" customWidth="1"/>
  </cols>
  <sheetData>
    <row r="2" spans="1:10" ht="15.75" thickBot="1" x14ac:dyDescent="0.3"/>
    <row r="3" spans="1:10" ht="16.5" thickTop="1" thickBot="1" x14ac:dyDescent="0.3">
      <c r="A3" s="145" t="s">
        <v>84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16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 x14ac:dyDescent="0.3">
      <c r="A5" s="142" t="s">
        <v>57</v>
      </c>
      <c r="B5" s="67" t="s">
        <v>11</v>
      </c>
      <c r="C5" s="34">
        <v>0</v>
      </c>
      <c r="D5" s="35">
        <v>0</v>
      </c>
      <c r="E5" s="35">
        <v>1</v>
      </c>
      <c r="F5" s="35">
        <v>195</v>
      </c>
      <c r="G5" s="35">
        <v>4082</v>
      </c>
      <c r="H5" s="35">
        <v>0</v>
      </c>
      <c r="I5" s="35">
        <f>SUM(C5:H5)</f>
        <v>4278</v>
      </c>
      <c r="J5" s="95">
        <f t="shared" ref="J5:J18" si="0">I5/4608*100</f>
        <v>92.838541666666657</v>
      </c>
    </row>
    <row r="6" spans="1:10" ht="25.5" thickTop="1" thickBot="1" x14ac:dyDescent="0.3">
      <c r="A6" s="143"/>
      <c r="B6" s="67" t="s">
        <v>72</v>
      </c>
      <c r="C6" s="34">
        <v>0</v>
      </c>
      <c r="D6" s="35">
        <v>0</v>
      </c>
      <c r="E6" s="35">
        <v>0</v>
      </c>
      <c r="F6" s="35">
        <v>14</v>
      </c>
      <c r="G6" s="35">
        <v>231</v>
      </c>
      <c r="H6" s="35">
        <v>0</v>
      </c>
      <c r="I6" s="35">
        <f>SUM(C6:H6)</f>
        <v>245</v>
      </c>
      <c r="J6" s="95">
        <f t="shared" si="0"/>
        <v>5.3168402777777777</v>
      </c>
    </row>
    <row r="7" spans="1:10" ht="37.5" thickTop="1" thickBot="1" x14ac:dyDescent="0.3">
      <c r="A7" s="104" t="s">
        <v>13</v>
      </c>
      <c r="B7" s="67" t="s">
        <v>14</v>
      </c>
      <c r="C7" s="34">
        <f>1+1</f>
        <v>2</v>
      </c>
      <c r="D7" s="35">
        <v>0</v>
      </c>
      <c r="E7" s="38">
        <v>2</v>
      </c>
      <c r="F7" s="38">
        <v>0</v>
      </c>
      <c r="G7" s="38">
        <v>0</v>
      </c>
      <c r="H7" s="35">
        <v>0</v>
      </c>
      <c r="I7" s="38">
        <f>SUM(C7:H7)</f>
        <v>4</v>
      </c>
      <c r="J7" s="95">
        <f t="shared" si="0"/>
        <v>8.6805555555555552E-2</v>
      </c>
    </row>
    <row r="8" spans="1:10" ht="25.5" thickTop="1" thickBot="1" x14ac:dyDescent="0.3">
      <c r="A8" s="142" t="s">
        <v>59</v>
      </c>
      <c r="B8" s="43" t="s">
        <v>39</v>
      </c>
      <c r="C8" s="34">
        <v>0</v>
      </c>
      <c r="D8" s="35">
        <v>0</v>
      </c>
      <c r="E8" s="38">
        <v>1</v>
      </c>
      <c r="F8" s="38">
        <v>0</v>
      </c>
      <c r="G8" s="35">
        <v>0</v>
      </c>
      <c r="H8" s="35">
        <v>0</v>
      </c>
      <c r="I8" s="38">
        <f t="shared" ref="I8:I19" si="1">SUM(C8:H8)</f>
        <v>1</v>
      </c>
      <c r="J8" s="95">
        <f t="shared" si="0"/>
        <v>2.1701388888888888E-2</v>
      </c>
    </row>
    <row r="9" spans="1:10" ht="70.5" customHeight="1" thickTop="1" thickBot="1" x14ac:dyDescent="0.3">
      <c r="A9" s="143"/>
      <c r="B9" s="43" t="s">
        <v>16</v>
      </c>
      <c r="C9" s="34">
        <v>0</v>
      </c>
      <c r="D9" s="35">
        <v>0</v>
      </c>
      <c r="E9" s="38">
        <v>0</v>
      </c>
      <c r="F9" s="38">
        <v>0</v>
      </c>
      <c r="G9" s="38">
        <v>4</v>
      </c>
      <c r="H9" s="35">
        <v>0</v>
      </c>
      <c r="I9" s="38">
        <f t="shared" si="1"/>
        <v>4</v>
      </c>
      <c r="J9" s="95">
        <f t="shared" si="0"/>
        <v>8.6805555555555552E-2</v>
      </c>
    </row>
    <row r="10" spans="1:10" ht="43.5" customHeight="1" thickTop="1" thickBot="1" x14ac:dyDescent="0.3">
      <c r="A10" s="105" t="s">
        <v>48</v>
      </c>
      <c r="B10" s="43" t="s">
        <v>82</v>
      </c>
      <c r="C10" s="34">
        <v>1</v>
      </c>
      <c r="D10" s="35">
        <v>0</v>
      </c>
      <c r="E10" s="38">
        <v>0</v>
      </c>
      <c r="F10" s="35">
        <v>0</v>
      </c>
      <c r="G10" s="35">
        <v>0</v>
      </c>
      <c r="H10" s="35">
        <v>0</v>
      </c>
      <c r="I10" s="38">
        <f t="shared" si="1"/>
        <v>1</v>
      </c>
      <c r="J10" s="95">
        <f t="shared" si="0"/>
        <v>2.1701388888888888E-2</v>
      </c>
    </row>
    <row r="11" spans="1:10" ht="27.75" customHeight="1" thickTop="1" thickBot="1" x14ac:dyDescent="0.3">
      <c r="A11" s="142" t="s">
        <v>19</v>
      </c>
      <c r="B11" s="67" t="s">
        <v>20</v>
      </c>
      <c r="C11" s="34">
        <v>2</v>
      </c>
      <c r="D11" s="35">
        <v>0</v>
      </c>
      <c r="E11" s="38">
        <v>1</v>
      </c>
      <c r="F11" s="35">
        <v>0</v>
      </c>
      <c r="G11" s="35">
        <v>0</v>
      </c>
      <c r="H11" s="35">
        <v>0</v>
      </c>
      <c r="I11" s="38">
        <f t="shared" si="1"/>
        <v>3</v>
      </c>
      <c r="J11" s="95">
        <f t="shared" si="0"/>
        <v>6.5104166666666657E-2</v>
      </c>
    </row>
    <row r="12" spans="1:10" ht="16.5" thickTop="1" thickBot="1" x14ac:dyDescent="0.3">
      <c r="A12" s="143"/>
      <c r="B12" s="67" t="s">
        <v>21</v>
      </c>
      <c r="C12" s="34">
        <f>11+4</f>
        <v>15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1"/>
        <v>15</v>
      </c>
      <c r="J12" s="95">
        <f t="shared" si="0"/>
        <v>0.32552083333333337</v>
      </c>
    </row>
    <row r="13" spans="1:10" ht="16.5" thickTop="1" thickBot="1" x14ac:dyDescent="0.3">
      <c r="A13" s="105" t="s">
        <v>22</v>
      </c>
      <c r="B13" s="43" t="s">
        <v>23</v>
      </c>
      <c r="C13" s="34">
        <v>1</v>
      </c>
      <c r="D13" s="35">
        <v>0</v>
      </c>
      <c r="E13" s="38">
        <v>1</v>
      </c>
      <c r="F13" s="35">
        <v>0</v>
      </c>
      <c r="G13" s="35">
        <v>0</v>
      </c>
      <c r="H13" s="35">
        <v>0</v>
      </c>
      <c r="I13" s="35">
        <f t="shared" si="1"/>
        <v>2</v>
      </c>
      <c r="J13" s="95">
        <f t="shared" si="0"/>
        <v>4.3402777777777776E-2</v>
      </c>
    </row>
    <row r="14" spans="1:10" ht="16.5" thickTop="1" thickBot="1" x14ac:dyDescent="0.3">
      <c r="A14" s="142" t="s">
        <v>26</v>
      </c>
      <c r="B14" s="67" t="s">
        <v>28</v>
      </c>
      <c r="C14" s="34">
        <f>43+1+1</f>
        <v>45</v>
      </c>
      <c r="D14" s="35">
        <v>0</v>
      </c>
      <c r="E14" s="38">
        <v>1</v>
      </c>
      <c r="F14" s="35">
        <v>0</v>
      </c>
      <c r="G14" s="35">
        <v>0</v>
      </c>
      <c r="H14" s="35">
        <v>0</v>
      </c>
      <c r="I14" s="38">
        <f t="shared" si="1"/>
        <v>46</v>
      </c>
      <c r="J14" s="95">
        <f t="shared" si="0"/>
        <v>0.99826388888888884</v>
      </c>
    </row>
    <row r="15" spans="1:10" ht="25.5" thickTop="1" thickBot="1" x14ac:dyDescent="0.3">
      <c r="A15" s="144"/>
      <c r="B15" s="67" t="s">
        <v>27</v>
      </c>
      <c r="C15" s="34">
        <v>0</v>
      </c>
      <c r="D15" s="35">
        <v>0</v>
      </c>
      <c r="E15" s="35">
        <v>0</v>
      </c>
      <c r="F15" s="35">
        <v>0</v>
      </c>
      <c r="G15" s="38">
        <v>2</v>
      </c>
      <c r="H15" s="35">
        <v>0</v>
      </c>
      <c r="I15" s="38">
        <f t="shared" si="1"/>
        <v>2</v>
      </c>
      <c r="J15" s="95">
        <f t="shared" si="0"/>
        <v>4.3402777777777776E-2</v>
      </c>
    </row>
    <row r="16" spans="1:10" ht="25.5" thickTop="1" thickBot="1" x14ac:dyDescent="0.3">
      <c r="A16" s="143"/>
      <c r="B16" s="43" t="s">
        <v>83</v>
      </c>
      <c r="C16" s="34">
        <v>1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8">
        <f t="shared" si="1"/>
        <v>1</v>
      </c>
      <c r="J16" s="95">
        <f t="shared" si="0"/>
        <v>2.1701388888888888E-2</v>
      </c>
    </row>
    <row r="17" spans="1:10" ht="48" customHeight="1" thickTop="1" thickBot="1" x14ac:dyDescent="0.3">
      <c r="A17" s="43" t="s">
        <v>29</v>
      </c>
      <c r="B17" s="43" t="s">
        <v>30</v>
      </c>
      <c r="C17" s="34">
        <v>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8">
        <f t="shared" si="1"/>
        <v>5</v>
      </c>
      <c r="J17" s="95">
        <f t="shared" si="0"/>
        <v>0.10850694444444445</v>
      </c>
    </row>
    <row r="18" spans="1:10" ht="57" customHeight="1" thickTop="1" thickBot="1" x14ac:dyDescent="0.3">
      <c r="A18" s="43" t="s">
        <v>31</v>
      </c>
      <c r="B18" s="43" t="s">
        <v>32</v>
      </c>
      <c r="C18" s="34">
        <v>0</v>
      </c>
      <c r="D18" s="35">
        <v>0</v>
      </c>
      <c r="E18" s="35">
        <v>0</v>
      </c>
      <c r="F18" s="35">
        <v>0</v>
      </c>
      <c r="G18" s="35">
        <v>0</v>
      </c>
      <c r="H18" s="38">
        <v>1</v>
      </c>
      <c r="I18" s="38">
        <f t="shared" si="1"/>
        <v>1</v>
      </c>
      <c r="J18" s="95">
        <f t="shared" si="0"/>
        <v>2.1701388888888888E-2</v>
      </c>
    </row>
    <row r="19" spans="1:10" ht="16.5" thickTop="1" thickBot="1" x14ac:dyDescent="0.3">
      <c r="A19" s="129" t="s">
        <v>38</v>
      </c>
      <c r="B19" s="129"/>
      <c r="C19" s="39">
        <f t="shared" ref="C19:H19" si="2">SUM(C5:C18)</f>
        <v>72</v>
      </c>
      <c r="D19" s="39">
        <f t="shared" si="2"/>
        <v>0</v>
      </c>
      <c r="E19" s="39">
        <f t="shared" si="2"/>
        <v>7</v>
      </c>
      <c r="F19" s="39">
        <f t="shared" si="2"/>
        <v>209</v>
      </c>
      <c r="G19" s="39">
        <f t="shared" si="2"/>
        <v>4319</v>
      </c>
      <c r="H19" s="39">
        <f t="shared" si="2"/>
        <v>1</v>
      </c>
      <c r="I19" s="38">
        <f t="shared" si="1"/>
        <v>4608</v>
      </c>
      <c r="J19" s="97">
        <f>I19/4608*100</f>
        <v>100</v>
      </c>
    </row>
    <row r="20" spans="1:10" ht="15.75" thickTop="1" x14ac:dyDescent="0.25"/>
    <row r="21" spans="1:10" x14ac:dyDescent="0.25">
      <c r="A21" s="77" t="s">
        <v>55</v>
      </c>
      <c r="B21" s="77" t="s">
        <v>60</v>
      </c>
    </row>
  </sheetData>
  <mergeCells count="6">
    <mergeCell ref="A19:B19"/>
    <mergeCell ref="A3:J3"/>
    <mergeCell ref="A5:A6"/>
    <mergeCell ref="A8:A9"/>
    <mergeCell ref="A11:A12"/>
    <mergeCell ref="A14:A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A3" sqref="A3:J3"/>
    </sheetView>
  </sheetViews>
  <sheetFormatPr baseColWidth="10" defaultRowHeight="15" x14ac:dyDescent="0.25"/>
  <cols>
    <col min="1" max="1" width="17.5703125" customWidth="1"/>
    <col min="2" max="2" width="21.85546875" customWidth="1"/>
    <col min="9" max="9" width="10.5703125" customWidth="1"/>
    <col min="10" max="10" width="6.85546875" customWidth="1"/>
  </cols>
  <sheetData>
    <row r="3" spans="1:10" ht="19.5" customHeight="1" x14ac:dyDescent="0.25">
      <c r="A3" s="148" t="s">
        <v>85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24.75" thickBot="1" x14ac:dyDescent="0.3">
      <c r="A4" s="107" t="s">
        <v>0</v>
      </c>
      <c r="B4" s="107" t="s">
        <v>1</v>
      </c>
      <c r="C4" s="107" t="s">
        <v>2</v>
      </c>
      <c r="D4" s="107" t="s">
        <v>3</v>
      </c>
      <c r="E4" s="107" t="s">
        <v>4</v>
      </c>
      <c r="F4" s="107" t="s">
        <v>5</v>
      </c>
      <c r="G4" s="107" t="s">
        <v>6</v>
      </c>
      <c r="H4" s="107" t="s">
        <v>7</v>
      </c>
      <c r="I4" s="107" t="s">
        <v>8</v>
      </c>
      <c r="J4" s="107" t="s">
        <v>9</v>
      </c>
    </row>
    <row r="5" spans="1:10" ht="25.5" thickTop="1" thickBot="1" x14ac:dyDescent="0.3">
      <c r="A5" s="109" t="s">
        <v>34</v>
      </c>
      <c r="B5" s="110" t="s">
        <v>35</v>
      </c>
      <c r="C5" s="34">
        <v>0</v>
      </c>
      <c r="D5" s="34">
        <v>0</v>
      </c>
      <c r="E5" s="34">
        <v>0</v>
      </c>
      <c r="F5" s="38">
        <v>0</v>
      </c>
      <c r="G5" s="38">
        <v>1</v>
      </c>
      <c r="H5" s="35">
        <v>0</v>
      </c>
      <c r="I5" s="35">
        <f>SUM(C5:H5)</f>
        <v>1</v>
      </c>
      <c r="J5" s="95">
        <f t="shared" ref="J5:J15" si="0">I5/4704*100</f>
        <v>2.1258503401360544E-2</v>
      </c>
    </row>
    <row r="6" spans="1:10" ht="37.5" thickTop="1" thickBot="1" x14ac:dyDescent="0.3">
      <c r="A6" s="142" t="s">
        <v>57</v>
      </c>
      <c r="B6" s="67" t="s">
        <v>11</v>
      </c>
      <c r="C6" s="34">
        <v>0</v>
      </c>
      <c r="D6" s="34">
        <v>0</v>
      </c>
      <c r="E6" s="34">
        <v>0</v>
      </c>
      <c r="F6" s="35">
        <v>165</v>
      </c>
      <c r="G6" s="35">
        <v>4180</v>
      </c>
      <c r="H6" s="35">
        <v>0</v>
      </c>
      <c r="I6" s="35">
        <f>SUM(C6:H6)</f>
        <v>4345</v>
      </c>
      <c r="J6" s="95">
        <f t="shared" si="0"/>
        <v>92.368197278911566</v>
      </c>
    </row>
    <row r="7" spans="1:10" ht="25.5" thickTop="1" thickBot="1" x14ac:dyDescent="0.3">
      <c r="A7" s="143"/>
      <c r="B7" s="67" t="s">
        <v>72</v>
      </c>
      <c r="C7" s="34">
        <v>0</v>
      </c>
      <c r="D7" s="34">
        <v>0</v>
      </c>
      <c r="E7" s="34">
        <v>0</v>
      </c>
      <c r="F7" s="35">
        <v>20</v>
      </c>
      <c r="G7" s="35">
        <v>256</v>
      </c>
      <c r="H7" s="35">
        <v>0</v>
      </c>
      <c r="I7" s="35">
        <f>SUM(C7:H7)</f>
        <v>276</v>
      </c>
      <c r="J7" s="95">
        <f t="shared" si="0"/>
        <v>5.8673469387755102</v>
      </c>
    </row>
    <row r="8" spans="1:10" ht="37.5" thickTop="1" thickBot="1" x14ac:dyDescent="0.3">
      <c r="A8" s="106" t="s">
        <v>13</v>
      </c>
      <c r="B8" s="67" t="s">
        <v>14</v>
      </c>
      <c r="C8" s="34">
        <f>9+1</f>
        <v>10</v>
      </c>
      <c r="D8" s="34">
        <v>0</v>
      </c>
      <c r="E8" s="34">
        <v>0</v>
      </c>
      <c r="F8" s="38">
        <v>0</v>
      </c>
      <c r="G8" s="38">
        <v>0</v>
      </c>
      <c r="H8" s="35">
        <v>0</v>
      </c>
      <c r="I8" s="38">
        <f>SUM(C8:H8)</f>
        <v>10</v>
      </c>
      <c r="J8" s="95">
        <f t="shared" si="0"/>
        <v>0.21258503401360546</v>
      </c>
    </row>
    <row r="9" spans="1:10" ht="79.5" customHeight="1" thickTop="1" thickBot="1" x14ac:dyDescent="0.3">
      <c r="A9" s="106" t="s">
        <v>59</v>
      </c>
      <c r="B9" s="43" t="s">
        <v>16</v>
      </c>
      <c r="C9" s="34">
        <v>0</v>
      </c>
      <c r="D9" s="34">
        <v>0</v>
      </c>
      <c r="E9" s="34">
        <v>0</v>
      </c>
      <c r="F9" s="38">
        <v>0</v>
      </c>
      <c r="G9" s="38">
        <v>9</v>
      </c>
      <c r="H9" s="35">
        <v>0</v>
      </c>
      <c r="I9" s="38">
        <f t="shared" ref="I9:I15" si="1">SUM(C9:H9)</f>
        <v>9</v>
      </c>
      <c r="J9" s="95">
        <f t="shared" si="0"/>
        <v>0.19132653061224489</v>
      </c>
    </row>
    <row r="10" spans="1:10" ht="31.5" customHeight="1" thickTop="1" thickBot="1" x14ac:dyDescent="0.3">
      <c r="A10" s="67" t="s">
        <v>19</v>
      </c>
      <c r="B10" s="67" t="s">
        <v>21</v>
      </c>
      <c r="C10" s="34">
        <v>3</v>
      </c>
      <c r="D10" s="34">
        <v>0</v>
      </c>
      <c r="E10" s="34">
        <v>0</v>
      </c>
      <c r="F10" s="38">
        <v>0</v>
      </c>
      <c r="G10" s="35">
        <v>0</v>
      </c>
      <c r="H10" s="35">
        <v>0</v>
      </c>
      <c r="I10" s="35">
        <f t="shared" si="1"/>
        <v>3</v>
      </c>
      <c r="J10" s="95">
        <f t="shared" si="0"/>
        <v>6.3775510204081634E-2</v>
      </c>
    </row>
    <row r="11" spans="1:10" ht="16.5" thickTop="1" thickBot="1" x14ac:dyDescent="0.3">
      <c r="A11" s="67" t="s">
        <v>22</v>
      </c>
      <c r="B11" s="43" t="s">
        <v>23</v>
      </c>
      <c r="C11" s="34">
        <v>4</v>
      </c>
      <c r="D11" s="34">
        <v>0</v>
      </c>
      <c r="E11" s="34">
        <v>0</v>
      </c>
      <c r="F11" s="38">
        <v>0</v>
      </c>
      <c r="G11" s="38">
        <v>0</v>
      </c>
      <c r="H11" s="35">
        <v>0</v>
      </c>
      <c r="I11" s="35">
        <f t="shared" si="1"/>
        <v>4</v>
      </c>
      <c r="J11" s="95">
        <f t="shared" si="0"/>
        <v>8.5034013605442174E-2</v>
      </c>
    </row>
    <row r="12" spans="1:10" ht="16.5" thickTop="1" thickBot="1" x14ac:dyDescent="0.3">
      <c r="A12" s="142" t="s">
        <v>26</v>
      </c>
      <c r="B12" s="67" t="s">
        <v>28</v>
      </c>
      <c r="C12" s="34">
        <f>49+1</f>
        <v>50</v>
      </c>
      <c r="D12" s="38">
        <v>1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52</v>
      </c>
      <c r="J12" s="95">
        <f t="shared" si="0"/>
        <v>1.1054421768707483</v>
      </c>
    </row>
    <row r="13" spans="1:10" ht="25.5" thickTop="1" thickBot="1" x14ac:dyDescent="0.3">
      <c r="A13" s="144"/>
      <c r="B13" s="67" t="s">
        <v>27</v>
      </c>
      <c r="C13" s="34">
        <v>0</v>
      </c>
      <c r="D13" s="38">
        <v>0</v>
      </c>
      <c r="E13" s="38">
        <v>0</v>
      </c>
      <c r="F13" s="38">
        <v>0</v>
      </c>
      <c r="G13" s="38">
        <v>1</v>
      </c>
      <c r="H13" s="35">
        <v>0</v>
      </c>
      <c r="I13" s="38">
        <f t="shared" si="1"/>
        <v>1</v>
      </c>
      <c r="J13" s="95">
        <f t="shared" si="0"/>
        <v>2.1258503401360544E-2</v>
      </c>
    </row>
    <row r="14" spans="1:10" ht="16.5" thickTop="1" thickBot="1" x14ac:dyDescent="0.3">
      <c r="A14" s="143"/>
      <c r="B14" s="43" t="s">
        <v>77</v>
      </c>
      <c r="C14" s="34">
        <v>1</v>
      </c>
      <c r="D14" s="38">
        <v>0</v>
      </c>
      <c r="E14" s="38">
        <v>0</v>
      </c>
      <c r="F14" s="38">
        <v>0</v>
      </c>
      <c r="G14" s="38">
        <v>0</v>
      </c>
      <c r="H14" s="35">
        <v>0</v>
      </c>
      <c r="I14" s="38">
        <f t="shared" si="1"/>
        <v>1</v>
      </c>
      <c r="J14" s="95">
        <f t="shared" si="0"/>
        <v>2.1258503401360544E-2</v>
      </c>
    </row>
    <row r="15" spans="1:10" ht="25.5" thickTop="1" thickBot="1" x14ac:dyDescent="0.3">
      <c r="A15" s="43" t="s">
        <v>29</v>
      </c>
      <c r="B15" s="43" t="s">
        <v>30</v>
      </c>
      <c r="C15" s="34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38">
        <f t="shared" si="1"/>
        <v>2</v>
      </c>
      <c r="J15" s="95">
        <f t="shared" si="0"/>
        <v>4.2517006802721087E-2</v>
      </c>
    </row>
    <row r="16" spans="1:10" ht="16.5" thickTop="1" thickBot="1" x14ac:dyDescent="0.3">
      <c r="A16" s="129" t="s">
        <v>38</v>
      </c>
      <c r="B16" s="129"/>
      <c r="C16" s="39">
        <f>SUM(C6:C15)</f>
        <v>69</v>
      </c>
      <c r="D16" s="39">
        <f>SUM(D6:D15)</f>
        <v>1</v>
      </c>
      <c r="E16" s="39">
        <f>SUM(E6:E15)</f>
        <v>1</v>
      </c>
      <c r="F16" s="39">
        <f>SUM(F6:F15)</f>
        <v>185</v>
      </c>
      <c r="G16" s="39">
        <f>SUM(G5:G15)</f>
        <v>4447</v>
      </c>
      <c r="H16" s="39">
        <f>SUM(H6:H15)</f>
        <v>1</v>
      </c>
      <c r="I16" s="38">
        <f>SUM(C16:H16)</f>
        <v>4704</v>
      </c>
      <c r="J16" s="97">
        <f>I16/4704*100</f>
        <v>100</v>
      </c>
    </row>
    <row r="17" spans="1:2" ht="15.75" thickTop="1" x14ac:dyDescent="0.25"/>
    <row r="18" spans="1:2" x14ac:dyDescent="0.25">
      <c r="A18" s="77" t="s">
        <v>55</v>
      </c>
      <c r="B18" s="77" t="s">
        <v>60</v>
      </c>
    </row>
  </sheetData>
  <mergeCells count="4">
    <mergeCell ref="A6:A7"/>
    <mergeCell ref="A12:A14"/>
    <mergeCell ref="A16:B16"/>
    <mergeCell ref="A3:J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A19" sqref="A19:B19"/>
    </sheetView>
  </sheetViews>
  <sheetFormatPr baseColWidth="10" defaultRowHeight="15" x14ac:dyDescent="0.25"/>
  <cols>
    <col min="1" max="1" width="20.85546875" customWidth="1"/>
    <col min="2" max="2" width="21.28515625" customWidth="1"/>
    <col min="7" max="7" width="14.140625" customWidth="1"/>
    <col min="10" max="10" width="10.7109375" customWidth="1"/>
  </cols>
  <sheetData>
    <row r="3" spans="1:10" ht="15.75" thickBot="1" x14ac:dyDescent="0.3">
      <c r="A3" s="148" t="s">
        <v>86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1.5" customHeight="1" thickTop="1" thickBot="1" x14ac:dyDescent="0.3">
      <c r="A5" s="109" t="s">
        <v>34</v>
      </c>
      <c r="B5" s="110" t="s">
        <v>35</v>
      </c>
      <c r="C5" s="111">
        <v>0</v>
      </c>
      <c r="D5" s="111">
        <v>0</v>
      </c>
      <c r="E5" s="111">
        <v>0</v>
      </c>
      <c r="F5" s="113">
        <v>0</v>
      </c>
      <c r="G5" s="113">
        <v>1</v>
      </c>
      <c r="H5" s="111">
        <v>0</v>
      </c>
      <c r="I5" s="111">
        <f>SUM(C5:H5)</f>
        <v>1</v>
      </c>
      <c r="J5" s="112">
        <f t="shared" ref="J5:J16" si="0">I5/4674*100</f>
        <v>2.1394950791613181E-2</v>
      </c>
    </row>
    <row r="6" spans="1:10" ht="37.5" thickTop="1" thickBot="1" x14ac:dyDescent="0.3">
      <c r="A6" s="142" t="s">
        <v>57</v>
      </c>
      <c r="B6" s="67" t="s">
        <v>11</v>
      </c>
      <c r="C6" s="111">
        <v>0</v>
      </c>
      <c r="D6" s="111">
        <v>0</v>
      </c>
      <c r="E6" s="111">
        <v>0</v>
      </c>
      <c r="F6" s="111">
        <v>225</v>
      </c>
      <c r="G6" s="111">
        <v>4020</v>
      </c>
      <c r="H6" s="113">
        <v>0</v>
      </c>
      <c r="I6" s="111">
        <f>SUM(C6:H6)</f>
        <v>4245</v>
      </c>
      <c r="J6" s="112">
        <f t="shared" si="0"/>
        <v>90.821566110397939</v>
      </c>
    </row>
    <row r="7" spans="1:10" ht="25.5" thickTop="1" thickBot="1" x14ac:dyDescent="0.3">
      <c r="A7" s="143"/>
      <c r="B7" s="67" t="s">
        <v>72</v>
      </c>
      <c r="C7" s="111">
        <v>0</v>
      </c>
      <c r="D7" s="111">
        <v>0</v>
      </c>
      <c r="E7" s="111">
        <v>0</v>
      </c>
      <c r="F7" s="111">
        <v>14</v>
      </c>
      <c r="G7" s="111">
        <v>332</v>
      </c>
      <c r="H7" s="113">
        <v>0</v>
      </c>
      <c r="I7" s="111">
        <f>SUM(C7:H7)</f>
        <v>346</v>
      </c>
      <c r="J7" s="112">
        <f t="shared" si="0"/>
        <v>7.4026529738981601</v>
      </c>
    </row>
    <row r="8" spans="1:10" ht="25.5" thickTop="1" thickBot="1" x14ac:dyDescent="0.3">
      <c r="A8" s="108" t="s">
        <v>13</v>
      </c>
      <c r="B8" s="67" t="s">
        <v>14</v>
      </c>
      <c r="C8" s="111">
        <f>4+1+2</f>
        <v>7</v>
      </c>
      <c r="D8" s="111">
        <v>0</v>
      </c>
      <c r="E8" s="113">
        <v>1</v>
      </c>
      <c r="F8" s="113">
        <v>0</v>
      </c>
      <c r="G8" s="113">
        <v>0</v>
      </c>
      <c r="H8" s="113">
        <v>0</v>
      </c>
      <c r="I8" s="113">
        <f>SUM(C8:H8)</f>
        <v>8</v>
      </c>
      <c r="J8" s="112">
        <f t="shared" si="0"/>
        <v>0.17115960633290545</v>
      </c>
    </row>
    <row r="9" spans="1:10" ht="25.5" thickTop="1" thickBot="1" x14ac:dyDescent="0.3">
      <c r="A9" s="142" t="s">
        <v>59</v>
      </c>
      <c r="B9" s="43" t="s">
        <v>39</v>
      </c>
      <c r="C9" s="111">
        <v>1</v>
      </c>
      <c r="D9" s="111">
        <v>0</v>
      </c>
      <c r="E9" s="113">
        <v>0</v>
      </c>
      <c r="F9" s="113">
        <v>0</v>
      </c>
      <c r="G9" s="113">
        <v>0</v>
      </c>
      <c r="H9" s="113">
        <v>0</v>
      </c>
      <c r="I9" s="113">
        <f>SUM(C9:H9)</f>
        <v>1</v>
      </c>
      <c r="J9" s="112">
        <f t="shared" si="0"/>
        <v>2.1394950791613181E-2</v>
      </c>
    </row>
    <row r="10" spans="1:10" ht="63.75" customHeight="1" thickTop="1" thickBot="1" x14ac:dyDescent="0.3">
      <c r="A10" s="143"/>
      <c r="B10" s="43" t="s">
        <v>16</v>
      </c>
      <c r="C10" s="111">
        <v>1</v>
      </c>
      <c r="D10" s="111">
        <v>0</v>
      </c>
      <c r="E10" s="113">
        <v>1</v>
      </c>
      <c r="F10" s="113">
        <v>0</v>
      </c>
      <c r="G10" s="113">
        <v>3</v>
      </c>
      <c r="H10" s="113">
        <v>0</v>
      </c>
      <c r="I10" s="113">
        <f t="shared" ref="I10:I16" si="1">SUM(C10:H10)</f>
        <v>5</v>
      </c>
      <c r="J10" s="112">
        <f t="shared" si="0"/>
        <v>0.10697475395806591</v>
      </c>
    </row>
    <row r="11" spans="1:10" ht="16.5" thickTop="1" thickBot="1" x14ac:dyDescent="0.3">
      <c r="A11" s="142" t="s">
        <v>19</v>
      </c>
      <c r="B11" s="43" t="s">
        <v>20</v>
      </c>
      <c r="C11" s="111">
        <v>5</v>
      </c>
      <c r="D11" s="111">
        <v>0</v>
      </c>
      <c r="E11" s="113">
        <v>1</v>
      </c>
      <c r="F11" s="113">
        <v>0</v>
      </c>
      <c r="G11" s="113">
        <v>1</v>
      </c>
      <c r="H11" s="113">
        <v>0</v>
      </c>
      <c r="I11" s="113">
        <f t="shared" si="1"/>
        <v>7</v>
      </c>
      <c r="J11" s="112">
        <f t="shared" si="0"/>
        <v>0.14976465554129226</v>
      </c>
    </row>
    <row r="12" spans="1:10" ht="16.5" thickTop="1" thickBot="1" x14ac:dyDescent="0.3">
      <c r="A12" s="143"/>
      <c r="B12" s="67" t="s">
        <v>21</v>
      </c>
      <c r="C12" s="111">
        <v>4</v>
      </c>
      <c r="D12" s="111">
        <v>0</v>
      </c>
      <c r="E12" s="111">
        <v>0</v>
      </c>
      <c r="F12" s="111">
        <v>0</v>
      </c>
      <c r="G12" s="111">
        <v>0</v>
      </c>
      <c r="H12" s="113">
        <v>0</v>
      </c>
      <c r="I12" s="111">
        <f t="shared" si="1"/>
        <v>4</v>
      </c>
      <c r="J12" s="112">
        <f t="shared" si="0"/>
        <v>8.5579803166452723E-2</v>
      </c>
    </row>
    <row r="13" spans="1:10" ht="16.5" thickTop="1" thickBot="1" x14ac:dyDescent="0.3">
      <c r="A13" s="67" t="s">
        <v>22</v>
      </c>
      <c r="B13" s="43" t="s">
        <v>23</v>
      </c>
      <c r="C13" s="111">
        <v>1</v>
      </c>
      <c r="D13" s="111">
        <v>0</v>
      </c>
      <c r="E13" s="113">
        <v>0</v>
      </c>
      <c r="F13" s="113">
        <v>0</v>
      </c>
      <c r="G13" s="113">
        <v>0</v>
      </c>
      <c r="H13" s="113">
        <v>0</v>
      </c>
      <c r="I13" s="111">
        <f t="shared" si="1"/>
        <v>1</v>
      </c>
      <c r="J13" s="112">
        <f t="shared" si="0"/>
        <v>2.1394950791613181E-2</v>
      </c>
    </row>
    <row r="14" spans="1:10" ht="16.5" thickTop="1" thickBot="1" x14ac:dyDescent="0.3">
      <c r="A14" s="142" t="s">
        <v>26</v>
      </c>
      <c r="B14" s="67" t="s">
        <v>28</v>
      </c>
      <c r="C14" s="111">
        <f>47+1+1+1</f>
        <v>50</v>
      </c>
      <c r="D14" s="113">
        <v>3</v>
      </c>
      <c r="E14" s="113">
        <v>0</v>
      </c>
      <c r="F14" s="113">
        <v>0</v>
      </c>
      <c r="G14" s="113">
        <v>0</v>
      </c>
      <c r="H14" s="113">
        <v>0</v>
      </c>
      <c r="I14" s="113">
        <f t="shared" si="1"/>
        <v>53</v>
      </c>
      <c r="J14" s="112">
        <f t="shared" si="0"/>
        <v>1.1339323919554984</v>
      </c>
    </row>
    <row r="15" spans="1:10" ht="16.5" thickTop="1" thickBot="1" x14ac:dyDescent="0.3">
      <c r="A15" s="143"/>
      <c r="B15" s="43" t="s">
        <v>77</v>
      </c>
      <c r="C15" s="111">
        <f>1+1</f>
        <v>2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f t="shared" si="1"/>
        <v>2</v>
      </c>
      <c r="J15" s="112">
        <f t="shared" si="0"/>
        <v>4.2789901583226361E-2</v>
      </c>
    </row>
    <row r="16" spans="1:10" ht="61.5" thickTop="1" thickBot="1" x14ac:dyDescent="0.3">
      <c r="A16" s="43" t="s">
        <v>31</v>
      </c>
      <c r="B16" s="43" t="s">
        <v>32</v>
      </c>
      <c r="C16" s="111">
        <v>1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f t="shared" si="1"/>
        <v>1</v>
      </c>
      <c r="J16" s="112">
        <f t="shared" si="0"/>
        <v>2.1394950791613181E-2</v>
      </c>
    </row>
    <row r="17" spans="1:10" ht="16.5" thickTop="1" thickBot="1" x14ac:dyDescent="0.3">
      <c r="A17" s="129" t="s">
        <v>38</v>
      </c>
      <c r="B17" s="129"/>
      <c r="C17" s="38">
        <f>SUM(C6:C16)</f>
        <v>72</v>
      </c>
      <c r="D17" s="38">
        <f>SUM(D6:D16)</f>
        <v>3</v>
      </c>
      <c r="E17" s="38">
        <f>SUM(E6:E16)</f>
        <v>3</v>
      </c>
      <c r="F17" s="38">
        <f>SUM(F5:F16)</f>
        <v>239</v>
      </c>
      <c r="G17" s="38">
        <f>SUM(G5:G16)</f>
        <v>4357</v>
      </c>
      <c r="H17" s="38">
        <f>SUM(H5:H16)</f>
        <v>0</v>
      </c>
      <c r="I17" s="38">
        <f>SUM(C17:H17)</f>
        <v>4674</v>
      </c>
      <c r="J17" s="68">
        <f>I17/4674*100</f>
        <v>100</v>
      </c>
    </row>
    <row r="18" spans="1:10" ht="15.75" thickTop="1" x14ac:dyDescent="0.25"/>
    <row r="19" spans="1:10" x14ac:dyDescent="0.25">
      <c r="A19" s="77" t="s">
        <v>55</v>
      </c>
      <c r="B19" s="77" t="s">
        <v>60</v>
      </c>
    </row>
  </sheetData>
  <mergeCells count="6">
    <mergeCell ref="A3:J3"/>
    <mergeCell ref="A6:A7"/>
    <mergeCell ref="A9:A10"/>
    <mergeCell ref="A11:A12"/>
    <mergeCell ref="A14:A15"/>
    <mergeCell ref="A17:B1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topLeftCell="A16" workbookViewId="0">
      <selection activeCell="G32" sqref="G32"/>
    </sheetView>
  </sheetViews>
  <sheetFormatPr baseColWidth="10" defaultRowHeight="15" x14ac:dyDescent="0.25"/>
  <cols>
    <col min="1" max="1" width="15.7109375" customWidth="1"/>
    <col min="2" max="2" width="17.5703125" customWidth="1"/>
    <col min="7" max="7" width="14" customWidth="1"/>
    <col min="10" max="10" width="8.140625" customWidth="1"/>
  </cols>
  <sheetData>
    <row r="3" spans="1:10" ht="15.75" thickBot="1" x14ac:dyDescent="0.3">
      <c r="A3" s="148" t="s">
        <v>88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61.5" thickTop="1" thickBot="1" x14ac:dyDescent="0.3">
      <c r="A5" s="149" t="s">
        <v>57</v>
      </c>
      <c r="B5" s="67" t="s">
        <v>11</v>
      </c>
      <c r="C5" s="35">
        <v>0</v>
      </c>
      <c r="D5" s="35">
        <v>0</v>
      </c>
      <c r="E5" s="35">
        <v>0</v>
      </c>
      <c r="F5" s="35">
        <v>251</v>
      </c>
      <c r="G5" s="35">
        <v>4356</v>
      </c>
      <c r="H5" s="35">
        <v>0</v>
      </c>
      <c r="I5" s="111">
        <f>SUM(C5:H5)</f>
        <v>4607</v>
      </c>
      <c r="J5" s="66">
        <f t="shared" ref="J5:J16" si="0">I5/4994*100</f>
        <v>92.25070084100922</v>
      </c>
    </row>
    <row r="6" spans="1:10" ht="49.5" thickTop="1" thickBot="1" x14ac:dyDescent="0.3">
      <c r="A6" s="149"/>
      <c r="B6" s="67" t="s">
        <v>72</v>
      </c>
      <c r="C6" s="35">
        <f>1+1</f>
        <v>2</v>
      </c>
      <c r="D6" s="35">
        <v>0</v>
      </c>
      <c r="E6" s="35">
        <v>0</v>
      </c>
      <c r="F6" s="35">
        <v>23</v>
      </c>
      <c r="G6" s="35">
        <v>281</v>
      </c>
      <c r="H6" s="35">
        <v>0</v>
      </c>
      <c r="I6" s="111">
        <f>SUM(C6:H6)</f>
        <v>306</v>
      </c>
      <c r="J6" s="66">
        <f t="shared" si="0"/>
        <v>6.1273528233880654</v>
      </c>
    </row>
    <row r="7" spans="1:10" ht="49.5" thickTop="1" thickBot="1" x14ac:dyDescent="0.3">
      <c r="A7" s="67" t="s">
        <v>13</v>
      </c>
      <c r="B7" s="67" t="s">
        <v>14</v>
      </c>
      <c r="C7" s="35">
        <f>1+3</f>
        <v>4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113">
        <f>SUM(C7:H7)</f>
        <v>4</v>
      </c>
      <c r="J7" s="66">
        <f t="shared" si="0"/>
        <v>8.009611533840609E-2</v>
      </c>
    </row>
    <row r="8" spans="1:10" ht="85.5" thickTop="1" thickBot="1" x14ac:dyDescent="0.3">
      <c r="A8" s="67" t="s">
        <v>59</v>
      </c>
      <c r="B8" s="43" t="s">
        <v>16</v>
      </c>
      <c r="C8" s="35">
        <v>1</v>
      </c>
      <c r="D8" s="35">
        <v>0</v>
      </c>
      <c r="E8" s="35">
        <v>0</v>
      </c>
      <c r="F8" s="35">
        <v>0</v>
      </c>
      <c r="G8" s="38">
        <v>4</v>
      </c>
      <c r="H8" s="35">
        <v>0</v>
      </c>
      <c r="I8" s="113">
        <f t="shared" ref="I8:I16" si="1">SUM(C8:H8)</f>
        <v>5</v>
      </c>
      <c r="J8" s="66">
        <f t="shared" si="0"/>
        <v>0.1001201441730076</v>
      </c>
    </row>
    <row r="9" spans="1:10" ht="37.5" thickTop="1" thickBot="1" x14ac:dyDescent="0.3">
      <c r="A9" s="67" t="s">
        <v>17</v>
      </c>
      <c r="B9" s="43" t="s">
        <v>18</v>
      </c>
      <c r="C9" s="35">
        <v>1</v>
      </c>
      <c r="D9" s="35">
        <v>0</v>
      </c>
      <c r="E9" s="35">
        <v>0</v>
      </c>
      <c r="F9" s="35">
        <v>0</v>
      </c>
      <c r="G9" s="38">
        <v>1</v>
      </c>
      <c r="H9" s="35">
        <v>0</v>
      </c>
      <c r="I9" s="113">
        <f t="shared" si="1"/>
        <v>2</v>
      </c>
      <c r="J9" s="66">
        <f t="shared" si="0"/>
        <v>4.0048057669203045E-2</v>
      </c>
    </row>
    <row r="10" spans="1:10" ht="30.75" customHeight="1" thickTop="1" thickBot="1" x14ac:dyDescent="0.3">
      <c r="A10" s="149" t="s">
        <v>19</v>
      </c>
      <c r="B10" s="43" t="s">
        <v>20</v>
      </c>
      <c r="C10" s="35">
        <v>3</v>
      </c>
      <c r="D10" s="35">
        <v>0</v>
      </c>
      <c r="E10" s="38">
        <v>1</v>
      </c>
      <c r="F10" s="35">
        <v>0</v>
      </c>
      <c r="G10" s="35">
        <v>0</v>
      </c>
      <c r="H10" s="35">
        <v>0</v>
      </c>
      <c r="I10" s="113">
        <f t="shared" si="1"/>
        <v>4</v>
      </c>
      <c r="J10" s="66">
        <f t="shared" si="0"/>
        <v>8.009611533840609E-2</v>
      </c>
    </row>
    <row r="11" spans="1:10" ht="25.5" thickTop="1" thickBot="1" x14ac:dyDescent="0.3">
      <c r="A11" s="149"/>
      <c r="B11" s="67" t="s">
        <v>21</v>
      </c>
      <c r="C11" s="35">
        <f>9+1+1</f>
        <v>11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111">
        <f t="shared" si="1"/>
        <v>11</v>
      </c>
      <c r="J11" s="66">
        <f t="shared" si="0"/>
        <v>0.22026431718061676</v>
      </c>
    </row>
    <row r="12" spans="1:10" ht="25.5" thickTop="1" thickBot="1" x14ac:dyDescent="0.3">
      <c r="A12" s="67" t="s">
        <v>22</v>
      </c>
      <c r="B12" s="43" t="s">
        <v>23</v>
      </c>
      <c r="C12" s="35">
        <v>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111">
        <f t="shared" si="1"/>
        <v>1</v>
      </c>
      <c r="J12" s="66">
        <f t="shared" si="0"/>
        <v>2.0024028834601523E-2</v>
      </c>
    </row>
    <row r="13" spans="1:10" ht="25.5" thickTop="1" thickBot="1" x14ac:dyDescent="0.3">
      <c r="A13" s="149" t="s">
        <v>26</v>
      </c>
      <c r="B13" s="67" t="s">
        <v>28</v>
      </c>
      <c r="C13" s="35">
        <f>41+2+3+2</f>
        <v>48</v>
      </c>
      <c r="D13" s="35">
        <v>0</v>
      </c>
      <c r="E13" s="38">
        <v>1</v>
      </c>
      <c r="F13" s="35">
        <v>0</v>
      </c>
      <c r="G13" s="35">
        <v>0</v>
      </c>
      <c r="H13" s="35">
        <v>0</v>
      </c>
      <c r="I13" s="113">
        <f t="shared" si="1"/>
        <v>49</v>
      </c>
      <c r="J13" s="66">
        <f t="shared" si="0"/>
        <v>0.98117741289547444</v>
      </c>
    </row>
    <row r="14" spans="1:10" ht="25.5" thickTop="1" thickBot="1" x14ac:dyDescent="0.3">
      <c r="A14" s="149"/>
      <c r="B14" s="43" t="s">
        <v>77</v>
      </c>
      <c r="C14" s="35">
        <v>2</v>
      </c>
      <c r="D14" s="35">
        <v>0</v>
      </c>
      <c r="E14" s="38">
        <v>0</v>
      </c>
      <c r="F14" s="35">
        <v>0</v>
      </c>
      <c r="G14" s="35">
        <v>0</v>
      </c>
      <c r="H14" s="35">
        <v>0</v>
      </c>
      <c r="I14" s="113">
        <f t="shared" si="1"/>
        <v>2</v>
      </c>
      <c r="J14" s="66">
        <f t="shared" si="0"/>
        <v>4.0048057669203045E-2</v>
      </c>
    </row>
    <row r="15" spans="1:10" ht="37.5" thickTop="1" thickBot="1" x14ac:dyDescent="0.3">
      <c r="A15" s="149"/>
      <c r="B15" s="43" t="s">
        <v>87</v>
      </c>
      <c r="C15" s="35">
        <v>0</v>
      </c>
      <c r="D15" s="35">
        <v>0</v>
      </c>
      <c r="E15" s="38">
        <v>0</v>
      </c>
      <c r="F15" s="38">
        <v>2</v>
      </c>
      <c r="G15" s="35">
        <v>0</v>
      </c>
      <c r="H15" s="35">
        <v>0</v>
      </c>
      <c r="I15" s="113">
        <f t="shared" si="1"/>
        <v>2</v>
      </c>
      <c r="J15" s="66">
        <f t="shared" si="0"/>
        <v>4.0048057669203045E-2</v>
      </c>
    </row>
    <row r="16" spans="1:10" ht="61.5" thickTop="1" thickBot="1" x14ac:dyDescent="0.3">
      <c r="A16" s="43" t="s">
        <v>31</v>
      </c>
      <c r="B16" s="43" t="s">
        <v>32</v>
      </c>
      <c r="C16" s="35">
        <v>1</v>
      </c>
      <c r="D16" s="35">
        <v>0</v>
      </c>
      <c r="E16" s="38">
        <v>0</v>
      </c>
      <c r="F16" s="38">
        <v>0</v>
      </c>
      <c r="G16" s="35">
        <v>0</v>
      </c>
      <c r="H16" s="35">
        <v>0</v>
      </c>
      <c r="I16" s="113">
        <f t="shared" si="1"/>
        <v>1</v>
      </c>
      <c r="J16" s="66">
        <f t="shared" si="0"/>
        <v>2.0024028834601523E-2</v>
      </c>
    </row>
    <row r="17" spans="1:10" ht="16.5" thickTop="1" thickBot="1" x14ac:dyDescent="0.3">
      <c r="A17" s="129" t="s">
        <v>38</v>
      </c>
      <c r="B17" s="129"/>
      <c r="C17" s="38">
        <f>SUM(C5:C16)</f>
        <v>74</v>
      </c>
      <c r="D17" s="38">
        <f>SUM(D5:D16)</f>
        <v>0</v>
      </c>
      <c r="E17" s="38">
        <f>SUM(E5:E16)</f>
        <v>2</v>
      </c>
      <c r="F17" s="38">
        <f>SUM(F5:F16)</f>
        <v>276</v>
      </c>
      <c r="G17" s="38">
        <f>SUM(G5:G16)</f>
        <v>4642</v>
      </c>
      <c r="H17" s="38">
        <f>SUM(H5:H16)</f>
        <v>0</v>
      </c>
      <c r="I17" s="38">
        <f>SUM(C17:H17)</f>
        <v>4994</v>
      </c>
      <c r="J17" s="68">
        <f>I17/4994*100</f>
        <v>100</v>
      </c>
    </row>
    <row r="18" spans="1:10" ht="15.75" thickTop="1" x14ac:dyDescent="0.25"/>
    <row r="19" spans="1:10" x14ac:dyDescent="0.25">
      <c r="A19" s="77" t="s">
        <v>55</v>
      </c>
      <c r="B19" s="77" t="s">
        <v>60</v>
      </c>
    </row>
  </sheetData>
  <mergeCells count="5">
    <mergeCell ref="A5:A6"/>
    <mergeCell ref="A10:A11"/>
    <mergeCell ref="A13:A15"/>
    <mergeCell ref="A17:B17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 x14ac:dyDescent="0.25"/>
  <cols>
    <col min="2" max="3" width="17.7109375" customWidth="1"/>
    <col min="8" max="8" width="14.57031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 x14ac:dyDescent="0.3">
      <c r="B4" s="114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 x14ac:dyDescent="0.3">
      <c r="B5" s="115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 x14ac:dyDescent="0.3">
      <c r="B6" s="114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 x14ac:dyDescent="0.3">
      <c r="B7" s="124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 x14ac:dyDescent="0.3">
      <c r="B8" s="125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 x14ac:dyDescent="0.3">
      <c r="B9" s="124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 x14ac:dyDescent="0.3">
      <c r="B10" s="125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 x14ac:dyDescent="0.3">
      <c r="B11" s="124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 x14ac:dyDescent="0.3">
      <c r="B12" s="125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 x14ac:dyDescent="0.3">
      <c r="B13" s="115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 x14ac:dyDescent="0.3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 x14ac:dyDescent="0.3">
      <c r="B15" s="114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 x14ac:dyDescent="0.3">
      <c r="B16" s="126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 x14ac:dyDescent="0.3">
      <c r="B17" s="115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57.75" thickTop="1" thickBot="1" x14ac:dyDescent="0.3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 x14ac:dyDescent="0.3">
      <c r="B19" s="122" t="s">
        <v>42</v>
      </c>
      <c r="C19" s="123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 x14ac:dyDescent="0.25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 x14ac:dyDescent="0.25"/>
  <cols>
    <col min="2" max="2" width="17.42578125" customWidth="1"/>
    <col min="3" max="3" width="20.285156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 x14ac:dyDescent="0.3">
      <c r="B4" s="118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 x14ac:dyDescent="0.3">
      <c r="B5" s="119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 x14ac:dyDescent="0.3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 x14ac:dyDescent="0.3">
      <c r="B7" s="118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 x14ac:dyDescent="0.3">
      <c r="B8" s="120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 x14ac:dyDescent="0.3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 x14ac:dyDescent="0.3">
      <c r="B10" s="118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 x14ac:dyDescent="0.3">
      <c r="B11" s="121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 x14ac:dyDescent="0.3">
      <c r="B12" s="120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 x14ac:dyDescent="0.3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 x14ac:dyDescent="0.3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 x14ac:dyDescent="0.3">
      <c r="B15" s="116" t="s">
        <v>38</v>
      </c>
      <c r="C15" s="117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 x14ac:dyDescent="0.25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 x14ac:dyDescent="0.2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 x14ac:dyDescent="0.3"/>
    <row r="4" spans="1:10" ht="27" thickTop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 x14ac:dyDescent="0.3">
      <c r="A5" s="127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 x14ac:dyDescent="0.3">
      <c r="A6" s="127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 x14ac:dyDescent="0.3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 x14ac:dyDescent="0.3">
      <c r="A8" s="127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 x14ac:dyDescent="0.3">
      <c r="A9" s="127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 x14ac:dyDescent="0.3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 x14ac:dyDescent="0.3">
      <c r="A11" s="127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 x14ac:dyDescent="0.3">
      <c r="A12" s="127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 x14ac:dyDescent="0.3">
      <c r="A13" s="127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 x14ac:dyDescent="0.3">
      <c r="A14" s="127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 x14ac:dyDescent="0.3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 x14ac:dyDescent="0.3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 x14ac:dyDescent="0.3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 x14ac:dyDescent="0.3">
      <c r="A18" s="128" t="s">
        <v>38</v>
      </c>
      <c r="B18" s="128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 x14ac:dyDescent="0.25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 x14ac:dyDescent="0.2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29" t="s">
        <v>10</v>
      </c>
      <c r="B4" s="33" t="s">
        <v>11</v>
      </c>
      <c r="C4" s="34">
        <v>1</v>
      </c>
      <c r="D4" s="35">
        <v>0</v>
      </c>
      <c r="E4" s="35">
        <v>0</v>
      </c>
      <c r="F4" s="35">
        <v>324</v>
      </c>
      <c r="G4" s="35">
        <v>1682</v>
      </c>
      <c r="H4" s="35">
        <v>0</v>
      </c>
      <c r="I4" s="36">
        <f t="shared" ref="I4:I16" si="0">SUM(C4:H4)</f>
        <v>2007</v>
      </c>
      <c r="J4" s="37">
        <f t="shared" ref="J4:J16" si="1">I4/2257*100</f>
        <v>88.923349579087287</v>
      </c>
    </row>
    <row r="5" spans="1:10" ht="25.5" thickTop="1" thickBot="1" x14ac:dyDescent="0.3">
      <c r="A5" s="129"/>
      <c r="B5" s="33" t="s">
        <v>12</v>
      </c>
      <c r="C5" s="34">
        <v>0</v>
      </c>
      <c r="D5" s="35">
        <v>0</v>
      </c>
      <c r="E5" s="35">
        <v>0</v>
      </c>
      <c r="F5" s="35">
        <v>26</v>
      </c>
      <c r="G5" s="35">
        <v>163</v>
      </c>
      <c r="H5" s="35">
        <v>0</v>
      </c>
      <c r="I5" s="36">
        <f t="shared" si="0"/>
        <v>189</v>
      </c>
      <c r="J5" s="37">
        <f t="shared" si="1"/>
        <v>8.3739477182100135</v>
      </c>
    </row>
    <row r="6" spans="1:10" ht="25.5" thickTop="1" thickBot="1" x14ac:dyDescent="0.3">
      <c r="A6" s="130" t="s">
        <v>13</v>
      </c>
      <c r="B6" s="33" t="s">
        <v>14</v>
      </c>
      <c r="C6" s="34">
        <f>1+7</f>
        <v>8</v>
      </c>
      <c r="D6" s="35">
        <v>0</v>
      </c>
      <c r="E6" s="38">
        <v>0</v>
      </c>
      <c r="F6" s="38">
        <v>0</v>
      </c>
      <c r="G6" s="38">
        <v>0</v>
      </c>
      <c r="H6" s="38">
        <v>0</v>
      </c>
      <c r="I6" s="39">
        <f t="shared" si="0"/>
        <v>8</v>
      </c>
      <c r="J6" s="37">
        <f t="shared" si="1"/>
        <v>0.35445281346920693</v>
      </c>
    </row>
    <row r="7" spans="1:10" ht="25.5" thickTop="1" thickBot="1" x14ac:dyDescent="0.3">
      <c r="A7" s="131"/>
      <c r="B7" s="33" t="s">
        <v>36</v>
      </c>
      <c r="C7" s="40">
        <f>1+4</f>
        <v>5</v>
      </c>
      <c r="D7" s="35">
        <v>0</v>
      </c>
      <c r="E7" s="38">
        <v>1</v>
      </c>
      <c r="F7" s="38">
        <v>0</v>
      </c>
      <c r="G7" s="38">
        <v>0</v>
      </c>
      <c r="H7" s="38">
        <v>0</v>
      </c>
      <c r="I7" s="39">
        <f t="shared" si="0"/>
        <v>6</v>
      </c>
      <c r="J7" s="37">
        <f t="shared" si="1"/>
        <v>0.26583961010190521</v>
      </c>
    </row>
    <row r="8" spans="1:10" ht="61.5" thickTop="1" thickBot="1" x14ac:dyDescent="0.3">
      <c r="A8" s="41" t="s">
        <v>15</v>
      </c>
      <c r="B8" s="42" t="s">
        <v>16</v>
      </c>
      <c r="C8" s="40">
        <v>5</v>
      </c>
      <c r="D8" s="38">
        <v>1</v>
      </c>
      <c r="E8" s="35">
        <v>2</v>
      </c>
      <c r="F8" s="38">
        <v>0</v>
      </c>
      <c r="G8" s="38">
        <v>0</v>
      </c>
      <c r="H8" s="38">
        <v>0</v>
      </c>
      <c r="I8" s="36">
        <f t="shared" si="0"/>
        <v>8</v>
      </c>
      <c r="J8" s="37">
        <f t="shared" si="1"/>
        <v>0.35445281346920693</v>
      </c>
    </row>
    <row r="9" spans="1:10" ht="25.5" thickTop="1" thickBot="1" x14ac:dyDescent="0.3">
      <c r="A9" s="33" t="s">
        <v>17</v>
      </c>
      <c r="B9" s="43" t="s">
        <v>35</v>
      </c>
      <c r="C9" s="40">
        <v>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6">
        <f t="shared" si="0"/>
        <v>5</v>
      </c>
      <c r="J9" s="37">
        <f t="shared" si="1"/>
        <v>0.2215330084182543</v>
      </c>
    </row>
    <row r="10" spans="1:10" ht="16.5" thickTop="1" thickBot="1" x14ac:dyDescent="0.3">
      <c r="A10" s="130" t="s">
        <v>19</v>
      </c>
      <c r="B10" s="43" t="s">
        <v>20</v>
      </c>
      <c r="C10" s="40">
        <v>7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6">
        <f t="shared" si="0"/>
        <v>8</v>
      </c>
      <c r="J10" s="37">
        <f t="shared" si="1"/>
        <v>0.35445281346920693</v>
      </c>
    </row>
    <row r="11" spans="1:10" ht="16.5" thickTop="1" thickBot="1" x14ac:dyDescent="0.3">
      <c r="A11" s="131"/>
      <c r="B11" s="43" t="s">
        <v>21</v>
      </c>
      <c r="C11" s="40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6">
        <f t="shared" si="0"/>
        <v>2</v>
      </c>
      <c r="J11" s="37">
        <f t="shared" si="1"/>
        <v>8.8613203367301732E-2</v>
      </c>
    </row>
    <row r="12" spans="1:10" ht="25.5" thickTop="1" thickBot="1" x14ac:dyDescent="0.3">
      <c r="A12" s="44" t="s">
        <v>22</v>
      </c>
      <c r="B12" s="43" t="s">
        <v>23</v>
      </c>
      <c r="C12" s="40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6">
        <f t="shared" si="0"/>
        <v>1</v>
      </c>
      <c r="J12" s="37">
        <f t="shared" si="1"/>
        <v>4.4306601683650866E-2</v>
      </c>
    </row>
    <row r="13" spans="1:10" ht="37.5" thickTop="1" thickBot="1" x14ac:dyDescent="0.3">
      <c r="A13" s="43" t="s">
        <v>24</v>
      </c>
      <c r="B13" s="43" t="s">
        <v>25</v>
      </c>
      <c r="C13" s="40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6">
        <f t="shared" si="0"/>
        <v>1</v>
      </c>
      <c r="J13" s="37">
        <f t="shared" si="1"/>
        <v>4.4306601683650866E-2</v>
      </c>
    </row>
    <row r="14" spans="1:10" ht="25.5" thickTop="1" thickBot="1" x14ac:dyDescent="0.3">
      <c r="A14" s="130" t="s">
        <v>26</v>
      </c>
      <c r="B14" s="43" t="s">
        <v>27</v>
      </c>
      <c r="C14" s="40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6">
        <f t="shared" si="0"/>
        <v>1</v>
      </c>
      <c r="J14" s="37">
        <f t="shared" si="1"/>
        <v>4.4306601683650866E-2</v>
      </c>
    </row>
    <row r="15" spans="1:10" ht="24.75" customHeight="1" thickTop="1" thickBot="1" x14ac:dyDescent="0.3">
      <c r="A15" s="131"/>
      <c r="B15" s="33" t="s">
        <v>28</v>
      </c>
      <c r="C15" s="34">
        <f>12+1+3+1</f>
        <v>17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6">
        <f t="shared" si="0"/>
        <v>18</v>
      </c>
      <c r="J15" s="37">
        <f t="shared" si="1"/>
        <v>0.79751883030571546</v>
      </c>
    </row>
    <row r="16" spans="1:10" ht="37.5" thickTop="1" thickBot="1" x14ac:dyDescent="0.3">
      <c r="A16" s="44" t="s">
        <v>31</v>
      </c>
      <c r="B16" s="33" t="s">
        <v>47</v>
      </c>
      <c r="C16" s="40">
        <v>1</v>
      </c>
      <c r="D16" s="38">
        <v>2</v>
      </c>
      <c r="E16" s="38">
        <v>0</v>
      </c>
      <c r="F16" s="38">
        <v>0</v>
      </c>
      <c r="G16" s="38">
        <v>0</v>
      </c>
      <c r="H16" s="38">
        <v>0</v>
      </c>
      <c r="I16" s="36">
        <f t="shared" si="0"/>
        <v>3</v>
      </c>
      <c r="J16" s="37">
        <f t="shared" si="1"/>
        <v>0.13291980505095261</v>
      </c>
    </row>
    <row r="17" spans="1:10" ht="16.5" thickTop="1" thickBot="1" x14ac:dyDescent="0.3">
      <c r="A17" s="132" t="s">
        <v>38</v>
      </c>
      <c r="B17" s="132"/>
      <c r="C17" s="45">
        <f t="shared" ref="C17:H17" si="2">SUM(C4:C16)</f>
        <v>54</v>
      </c>
      <c r="D17" s="45">
        <f t="shared" si="2"/>
        <v>4</v>
      </c>
      <c r="E17" s="45">
        <f t="shared" si="2"/>
        <v>3</v>
      </c>
      <c r="F17" s="45">
        <f t="shared" si="2"/>
        <v>351</v>
      </c>
      <c r="G17" s="45">
        <f t="shared" si="2"/>
        <v>1845</v>
      </c>
      <c r="H17" s="45">
        <f t="shared" si="2"/>
        <v>0</v>
      </c>
      <c r="I17" s="45">
        <f>SUM(C4:H16)</f>
        <v>2257</v>
      </c>
      <c r="J17" s="46">
        <f>I17/2257*100</f>
        <v>100</v>
      </c>
    </row>
    <row r="18" spans="1:10" ht="15.75" thickTop="1" x14ac:dyDescent="0.25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21" sqref="D21"/>
    </sheetView>
  </sheetViews>
  <sheetFormatPr baseColWidth="10" defaultRowHeight="15" x14ac:dyDescent="0.25"/>
  <cols>
    <col min="1" max="1" width="39.28515625" customWidth="1"/>
    <col min="2" max="2" width="17.42578125" customWidth="1"/>
    <col min="7" max="7" width="14" customWidth="1"/>
    <col min="10" max="10" width="7.42578125" customWidth="1"/>
  </cols>
  <sheetData>
    <row r="2" spans="1:10" ht="15.75" thickBot="1" x14ac:dyDescent="0.3"/>
    <row r="3" spans="1:10" ht="27" thickTop="1" thickBo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133" t="s">
        <v>10</v>
      </c>
      <c r="B4" s="20" t="s">
        <v>35</v>
      </c>
      <c r="C4" s="49">
        <v>0</v>
      </c>
      <c r="D4" s="50">
        <v>0</v>
      </c>
      <c r="E4" s="49">
        <v>0</v>
      </c>
      <c r="F4" s="51">
        <v>0</v>
      </c>
      <c r="G4" s="51">
        <v>0</v>
      </c>
      <c r="H4" s="49">
        <v>1</v>
      </c>
      <c r="I4" s="22">
        <f>SUM(C4:H4)</f>
        <v>1</v>
      </c>
      <c r="J4" s="52">
        <f t="shared" ref="J4:J16" si="0">I4/2300*100</f>
        <v>4.3478260869565216E-2</v>
      </c>
    </row>
    <row r="5" spans="1:10" ht="37.5" thickTop="1" thickBot="1" x14ac:dyDescent="0.3">
      <c r="A5" s="134"/>
      <c r="B5" s="31" t="s">
        <v>11</v>
      </c>
      <c r="C5" s="53">
        <v>1</v>
      </c>
      <c r="D5" s="50">
        <v>0</v>
      </c>
      <c r="E5" s="54">
        <v>0</v>
      </c>
      <c r="F5" s="54">
        <v>285</v>
      </c>
      <c r="G5" s="54">
        <v>1763</v>
      </c>
      <c r="H5" s="50">
        <v>0</v>
      </c>
      <c r="I5" s="50">
        <f>SUM(C5:H5)</f>
        <v>2049</v>
      </c>
      <c r="J5" s="52">
        <f t="shared" si="0"/>
        <v>89.08695652173914</v>
      </c>
    </row>
    <row r="6" spans="1:10" ht="25.5" thickTop="1" thickBot="1" x14ac:dyDescent="0.3">
      <c r="A6" s="135"/>
      <c r="B6" s="31" t="s">
        <v>12</v>
      </c>
      <c r="C6" s="53">
        <v>0</v>
      </c>
      <c r="D6" s="50">
        <v>0</v>
      </c>
      <c r="E6" s="54">
        <v>0</v>
      </c>
      <c r="F6" s="54">
        <v>19</v>
      </c>
      <c r="G6" s="54">
        <v>193</v>
      </c>
      <c r="H6" s="50">
        <v>0</v>
      </c>
      <c r="I6" s="50">
        <f>SUM(C6:H6)</f>
        <v>212</v>
      </c>
      <c r="J6" s="52">
        <f t="shared" si="0"/>
        <v>9.2173913043478262</v>
      </c>
    </row>
    <row r="7" spans="1:10" ht="25.5" thickTop="1" thickBot="1" x14ac:dyDescent="0.3">
      <c r="A7" s="24" t="s">
        <v>13</v>
      </c>
      <c r="B7" s="31" t="s">
        <v>14</v>
      </c>
      <c r="C7" s="55">
        <f>1+1+1+1+1+7</f>
        <v>12</v>
      </c>
      <c r="D7" s="50">
        <v>0</v>
      </c>
      <c r="E7" s="51">
        <v>1</v>
      </c>
      <c r="F7" s="50">
        <v>0</v>
      </c>
      <c r="G7" s="50">
        <v>0</v>
      </c>
      <c r="H7" s="50">
        <v>0</v>
      </c>
      <c r="I7" s="56">
        <f t="shared" ref="I7" si="1">SUM(C7:H7)</f>
        <v>13</v>
      </c>
      <c r="J7" s="52">
        <f t="shared" si="0"/>
        <v>0.56521739130434789</v>
      </c>
    </row>
    <row r="8" spans="1:10" ht="61.5" thickTop="1" thickBot="1" x14ac:dyDescent="0.3">
      <c r="A8" s="31" t="s">
        <v>15</v>
      </c>
      <c r="B8" s="57" t="s">
        <v>16</v>
      </c>
      <c r="C8" s="55">
        <v>2</v>
      </c>
      <c r="D8" s="50">
        <v>0</v>
      </c>
      <c r="E8" s="54">
        <v>2</v>
      </c>
      <c r="F8" s="50">
        <v>0</v>
      </c>
      <c r="G8" s="50">
        <v>0</v>
      </c>
      <c r="H8" s="50">
        <v>0</v>
      </c>
      <c r="I8" s="22">
        <f t="shared" ref="I8:I16" si="2">SUM(C8:H8)</f>
        <v>4</v>
      </c>
      <c r="J8" s="52">
        <f t="shared" si="0"/>
        <v>0.17391304347826086</v>
      </c>
    </row>
    <row r="9" spans="1:10" ht="37.5" thickTop="1" thickBot="1" x14ac:dyDescent="0.3">
      <c r="A9" s="31" t="s">
        <v>48</v>
      </c>
      <c r="B9" s="31" t="s">
        <v>49</v>
      </c>
      <c r="C9" s="55">
        <v>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22">
        <f t="shared" si="2"/>
        <v>1</v>
      </c>
      <c r="J9" s="52">
        <f t="shared" si="0"/>
        <v>4.3478260869565216E-2</v>
      </c>
    </row>
    <row r="10" spans="1:10" ht="25.5" thickTop="1" thickBot="1" x14ac:dyDescent="0.3">
      <c r="A10" s="31" t="s">
        <v>17</v>
      </c>
      <c r="B10" s="31" t="s">
        <v>50</v>
      </c>
      <c r="C10" s="55">
        <v>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22">
        <f t="shared" si="2"/>
        <v>1</v>
      </c>
      <c r="J10" s="52">
        <f t="shared" si="0"/>
        <v>4.3478260869565216E-2</v>
      </c>
    </row>
    <row r="11" spans="1:10" ht="20.25" customHeight="1" thickTop="1" thickBot="1" x14ac:dyDescent="0.3">
      <c r="A11" s="133" t="s">
        <v>19</v>
      </c>
      <c r="B11" s="31" t="s">
        <v>20</v>
      </c>
      <c r="C11" s="55">
        <v>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22">
        <f t="shared" si="2"/>
        <v>5</v>
      </c>
      <c r="J11" s="52">
        <f t="shared" si="0"/>
        <v>0.21739130434782608</v>
      </c>
    </row>
    <row r="12" spans="1:10" ht="24" customHeight="1" thickTop="1" thickBot="1" x14ac:dyDescent="0.3">
      <c r="A12" s="135"/>
      <c r="B12" s="31" t="s">
        <v>21</v>
      </c>
      <c r="C12" s="55">
        <v>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22">
        <f t="shared" si="2"/>
        <v>3</v>
      </c>
      <c r="J12" s="52">
        <f t="shared" si="0"/>
        <v>0.13043478260869568</v>
      </c>
    </row>
    <row r="13" spans="1:10" ht="16.5" thickTop="1" thickBot="1" x14ac:dyDescent="0.3">
      <c r="A13" s="24" t="s">
        <v>22</v>
      </c>
      <c r="B13" s="31" t="s">
        <v>23</v>
      </c>
      <c r="C13" s="55">
        <v>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22">
        <f t="shared" si="2"/>
        <v>3</v>
      </c>
      <c r="J13" s="52">
        <f t="shared" si="0"/>
        <v>0.13043478260869568</v>
      </c>
    </row>
    <row r="14" spans="1:10" ht="25.5" thickTop="1" thickBot="1" x14ac:dyDescent="0.3">
      <c r="A14" s="24" t="s">
        <v>26</v>
      </c>
      <c r="B14" s="31" t="s">
        <v>28</v>
      </c>
      <c r="C14" s="53">
        <f>5+1</f>
        <v>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22">
        <f t="shared" si="2"/>
        <v>6</v>
      </c>
      <c r="J14" s="52">
        <f t="shared" si="0"/>
        <v>0.26086956521739135</v>
      </c>
    </row>
    <row r="15" spans="1:10" ht="37.5" thickTop="1" thickBot="1" x14ac:dyDescent="0.3">
      <c r="A15" s="24" t="s">
        <v>31</v>
      </c>
      <c r="B15" s="31" t="s">
        <v>47</v>
      </c>
      <c r="C15" s="55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22">
        <f t="shared" si="2"/>
        <v>1</v>
      </c>
      <c r="J15" s="52">
        <f t="shared" si="0"/>
        <v>4.3478260869565216E-2</v>
      </c>
    </row>
    <row r="16" spans="1:10" ht="37.5" thickTop="1" thickBot="1" x14ac:dyDescent="0.3">
      <c r="A16" s="31" t="s">
        <v>29</v>
      </c>
      <c r="B16" s="31" t="s">
        <v>30</v>
      </c>
      <c r="C16" s="55">
        <v>0</v>
      </c>
      <c r="D16" s="50">
        <v>0</v>
      </c>
      <c r="E16" s="50">
        <v>0</v>
      </c>
      <c r="F16" s="50">
        <v>0</v>
      </c>
      <c r="G16" s="50">
        <v>0</v>
      </c>
      <c r="H16" s="56">
        <v>1</v>
      </c>
      <c r="I16" s="22">
        <f t="shared" si="2"/>
        <v>1</v>
      </c>
      <c r="J16" s="52">
        <f t="shared" si="0"/>
        <v>4.3478260869565216E-2</v>
      </c>
    </row>
    <row r="17" spans="1:10" ht="16.5" thickTop="1" thickBot="1" x14ac:dyDescent="0.3">
      <c r="A17" s="128" t="s">
        <v>38</v>
      </c>
      <c r="B17" s="128"/>
      <c r="C17" s="58">
        <f>SUM(C4:C16)</f>
        <v>35</v>
      </c>
      <c r="D17" s="58">
        <f>SUM(D5:D16)</f>
        <v>0</v>
      </c>
      <c r="E17" s="58">
        <f>SUM(E5:E16)</f>
        <v>3</v>
      </c>
      <c r="F17" s="58">
        <f>SUM(F5:F16)</f>
        <v>304</v>
      </c>
      <c r="G17" s="58">
        <f>SUM(G5:G16)</f>
        <v>1956</v>
      </c>
      <c r="H17" s="58">
        <f>SUM(H4:H16)</f>
        <v>2</v>
      </c>
      <c r="I17" s="58">
        <f>SUM(C4:H16)</f>
        <v>2300</v>
      </c>
      <c r="J17" s="59">
        <f>I17/2300*100</f>
        <v>100</v>
      </c>
    </row>
    <row r="18" spans="1:10" ht="15.75" thickTop="1" x14ac:dyDescent="0.25"/>
  </sheetData>
  <mergeCells count="3">
    <mergeCell ref="A4:A6"/>
    <mergeCell ref="A11:A12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J4" sqref="J4:J12"/>
    </sheetView>
  </sheetViews>
  <sheetFormatPr baseColWidth="10" defaultRowHeight="15" x14ac:dyDescent="0.25"/>
  <cols>
    <col min="1" max="1" width="20.85546875" customWidth="1"/>
    <col min="2" max="2" width="22.42578125" customWidth="1"/>
    <col min="6" max="7" width="13.5703125" customWidth="1"/>
    <col min="9" max="9" width="10.28515625" customWidth="1"/>
    <col min="10" max="10" width="6.140625" customWidth="1"/>
  </cols>
  <sheetData>
    <row r="2" spans="1:10" ht="15.75" thickBot="1" x14ac:dyDescent="0.3"/>
    <row r="3" spans="1:10" ht="16.5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30" t="s">
        <v>10</v>
      </c>
      <c r="B4" s="47" t="s">
        <v>11</v>
      </c>
      <c r="C4" s="34">
        <v>0</v>
      </c>
      <c r="D4" s="34">
        <v>0</v>
      </c>
      <c r="E4" s="34">
        <v>0</v>
      </c>
      <c r="F4" s="35">
        <v>315</v>
      </c>
      <c r="G4" s="35">
        <v>2163</v>
      </c>
      <c r="H4" s="35">
        <v>0</v>
      </c>
      <c r="I4" s="62">
        <f t="shared" ref="I4:I11" si="0">SUM(C4:H4)</f>
        <v>2478</v>
      </c>
      <c r="J4" s="63">
        <f t="shared" ref="J4:J11" si="1">I4/2740*100</f>
        <v>90.43795620437956</v>
      </c>
    </row>
    <row r="5" spans="1:10" ht="25.5" thickTop="1" thickBot="1" x14ac:dyDescent="0.3">
      <c r="A5" s="131"/>
      <c r="B5" s="47" t="s">
        <v>12</v>
      </c>
      <c r="C5" s="34">
        <v>0</v>
      </c>
      <c r="D5" s="34">
        <v>0</v>
      </c>
      <c r="E5" s="34">
        <v>0</v>
      </c>
      <c r="F5" s="35">
        <v>29</v>
      </c>
      <c r="G5" s="35">
        <v>197</v>
      </c>
      <c r="H5" s="35">
        <v>0</v>
      </c>
      <c r="I5" s="62">
        <f t="shared" si="0"/>
        <v>226</v>
      </c>
      <c r="J5" s="63">
        <f t="shared" si="1"/>
        <v>8.2481751824817504</v>
      </c>
    </row>
    <row r="6" spans="1:10" ht="25.5" thickTop="1" thickBot="1" x14ac:dyDescent="0.3">
      <c r="A6" s="130" t="s">
        <v>13</v>
      </c>
      <c r="B6" s="47" t="s">
        <v>51</v>
      </c>
      <c r="C6" s="34">
        <v>1</v>
      </c>
      <c r="D6" s="34">
        <v>0</v>
      </c>
      <c r="E6" s="34">
        <v>0</v>
      </c>
      <c r="F6" s="38">
        <v>0</v>
      </c>
      <c r="G6" s="38">
        <v>0</v>
      </c>
      <c r="H6" s="39">
        <v>0</v>
      </c>
      <c r="I6" s="39">
        <f t="shared" si="0"/>
        <v>1</v>
      </c>
      <c r="J6" s="63">
        <f t="shared" si="1"/>
        <v>3.6496350364963501E-2</v>
      </c>
    </row>
    <row r="7" spans="1:10" ht="25.5" thickTop="1" thickBot="1" x14ac:dyDescent="0.3">
      <c r="A7" s="131"/>
      <c r="B7" s="47" t="s">
        <v>14</v>
      </c>
      <c r="C7" s="40">
        <v>5</v>
      </c>
      <c r="D7" s="34">
        <v>0</v>
      </c>
      <c r="E7" s="34">
        <v>0</v>
      </c>
      <c r="F7" s="34">
        <v>0</v>
      </c>
      <c r="G7" s="39">
        <v>0</v>
      </c>
      <c r="H7" s="39">
        <v>0</v>
      </c>
      <c r="I7" s="36">
        <f t="shared" si="0"/>
        <v>5</v>
      </c>
      <c r="J7" s="63">
        <f t="shared" si="1"/>
        <v>0.18248175182481752</v>
      </c>
    </row>
    <row r="8" spans="1:10" ht="16.5" thickTop="1" thickBot="1" x14ac:dyDescent="0.3">
      <c r="A8" s="130" t="s">
        <v>19</v>
      </c>
      <c r="B8" s="43" t="s">
        <v>20</v>
      </c>
      <c r="C8" s="40">
        <v>10</v>
      </c>
      <c r="D8" s="38">
        <v>1</v>
      </c>
      <c r="E8" s="38">
        <v>0</v>
      </c>
      <c r="F8" s="38">
        <v>0</v>
      </c>
      <c r="G8" s="38">
        <v>2</v>
      </c>
      <c r="H8" s="39">
        <v>0</v>
      </c>
      <c r="I8" s="36">
        <f t="shared" si="0"/>
        <v>13</v>
      </c>
      <c r="J8" s="63">
        <f t="shared" si="1"/>
        <v>0.47445255474452552</v>
      </c>
    </row>
    <row r="9" spans="1:10" ht="16.5" thickTop="1" thickBot="1" x14ac:dyDescent="0.3">
      <c r="A9" s="131"/>
      <c r="B9" s="43" t="s">
        <v>21</v>
      </c>
      <c r="C9" s="40">
        <v>2</v>
      </c>
      <c r="D9" s="38">
        <v>0</v>
      </c>
      <c r="E9" s="38">
        <v>0</v>
      </c>
      <c r="F9" s="38">
        <v>0</v>
      </c>
      <c r="G9" s="38">
        <v>0</v>
      </c>
      <c r="H9" s="39">
        <v>0</v>
      </c>
      <c r="I9" s="36">
        <f t="shared" si="0"/>
        <v>2</v>
      </c>
      <c r="J9" s="63">
        <f t="shared" si="1"/>
        <v>7.2992700729927001E-2</v>
      </c>
    </row>
    <row r="10" spans="1:10" ht="16.5" thickTop="1" thickBot="1" x14ac:dyDescent="0.3">
      <c r="A10" s="48" t="s">
        <v>22</v>
      </c>
      <c r="B10" s="43" t="s">
        <v>23</v>
      </c>
      <c r="C10" s="40">
        <v>4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  <c r="I10" s="36">
        <f t="shared" si="0"/>
        <v>4</v>
      </c>
      <c r="J10" s="63">
        <f t="shared" si="1"/>
        <v>0.145985401459854</v>
      </c>
    </row>
    <row r="11" spans="1:10" ht="37.5" thickTop="1" thickBot="1" x14ac:dyDescent="0.3">
      <c r="A11" s="48" t="s">
        <v>26</v>
      </c>
      <c r="B11" s="47" t="s">
        <v>28</v>
      </c>
      <c r="C11" s="34">
        <f>8+1</f>
        <v>9</v>
      </c>
      <c r="D11" s="38">
        <v>2</v>
      </c>
      <c r="E11" s="38">
        <v>0</v>
      </c>
      <c r="F11" s="38">
        <v>0</v>
      </c>
      <c r="G11" s="38">
        <v>0</v>
      </c>
      <c r="H11" s="39">
        <v>0</v>
      </c>
      <c r="I11" s="36">
        <f t="shared" si="0"/>
        <v>11</v>
      </c>
      <c r="J11" s="63">
        <f t="shared" si="1"/>
        <v>0.40145985401459855</v>
      </c>
    </row>
    <row r="12" spans="1:10" ht="16.5" thickTop="1" thickBot="1" x14ac:dyDescent="0.3">
      <c r="A12" s="132" t="s">
        <v>38</v>
      </c>
      <c r="B12" s="132"/>
      <c r="C12" s="45">
        <f t="shared" ref="C12:H12" si="2">SUM(C4:C11)</f>
        <v>31</v>
      </c>
      <c r="D12" s="45">
        <f t="shared" si="2"/>
        <v>3</v>
      </c>
      <c r="E12" s="45">
        <f t="shared" si="2"/>
        <v>0</v>
      </c>
      <c r="F12" s="45">
        <f t="shared" si="2"/>
        <v>344</v>
      </c>
      <c r="G12" s="45">
        <f t="shared" si="2"/>
        <v>2362</v>
      </c>
      <c r="H12" s="45">
        <f t="shared" si="2"/>
        <v>0</v>
      </c>
      <c r="I12" s="45">
        <f>SUM(C4:H11)</f>
        <v>2740</v>
      </c>
      <c r="J12" s="46">
        <f>I12/2740*100</f>
        <v>100</v>
      </c>
    </row>
    <row r="13" spans="1:10" ht="15.75" thickTop="1" x14ac:dyDescent="0.25"/>
  </sheetData>
  <mergeCells count="4">
    <mergeCell ref="A8:A9"/>
    <mergeCell ref="A12:B12"/>
    <mergeCell ref="A4:A5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H17" sqref="H17"/>
    </sheetView>
  </sheetViews>
  <sheetFormatPr baseColWidth="10" defaultRowHeight="15" x14ac:dyDescent="0.25"/>
  <cols>
    <col min="1" max="1" width="15.85546875" customWidth="1"/>
    <col min="2" max="2" width="17.140625" customWidth="1"/>
    <col min="4" max="4" width="8.7109375" customWidth="1"/>
    <col min="7" max="7" width="13.140625" customWidth="1"/>
    <col min="10" max="10" width="5.5703125" bestFit="1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57.75" customHeight="1" thickTop="1" thickBot="1" x14ac:dyDescent="0.3">
      <c r="A4" s="130" t="s">
        <v>10</v>
      </c>
      <c r="B4" s="60" t="s">
        <v>11</v>
      </c>
      <c r="C4" s="69">
        <v>1</v>
      </c>
      <c r="D4" s="70">
        <v>0</v>
      </c>
      <c r="E4" s="70">
        <v>0</v>
      </c>
      <c r="F4" s="70">
        <v>177</v>
      </c>
      <c r="G4" s="70">
        <v>1816</v>
      </c>
      <c r="H4" s="70">
        <v>0</v>
      </c>
      <c r="I4" s="70">
        <f t="shared" ref="I4:I11" si="0">SUM(C4:H4)</f>
        <v>1994</v>
      </c>
      <c r="J4" s="66">
        <f t="shared" ref="J4:J11" si="1">I4/2229*100</f>
        <v>89.457155675190663</v>
      </c>
    </row>
    <row r="5" spans="1:10" ht="25.5" thickTop="1" thickBot="1" x14ac:dyDescent="0.3">
      <c r="A5" s="131"/>
      <c r="B5" s="60" t="s">
        <v>12</v>
      </c>
      <c r="C5" s="69">
        <v>0</v>
      </c>
      <c r="D5" s="70">
        <v>0</v>
      </c>
      <c r="E5" s="70">
        <v>0</v>
      </c>
      <c r="F5" s="70">
        <v>27</v>
      </c>
      <c r="G5" s="70">
        <v>187</v>
      </c>
      <c r="H5" s="70">
        <v>0</v>
      </c>
      <c r="I5" s="70">
        <f t="shared" si="0"/>
        <v>214</v>
      </c>
      <c r="J5" s="66">
        <f t="shared" si="1"/>
        <v>9.600717810677434</v>
      </c>
    </row>
    <row r="6" spans="1:10" ht="37.5" thickTop="1" thickBot="1" x14ac:dyDescent="0.3">
      <c r="A6" s="61" t="s">
        <v>13</v>
      </c>
      <c r="B6" s="60" t="s">
        <v>14</v>
      </c>
      <c r="C6" s="71">
        <f>1+1+3</f>
        <v>5</v>
      </c>
      <c r="D6" s="70">
        <v>0</v>
      </c>
      <c r="E6" s="72">
        <v>1</v>
      </c>
      <c r="F6" s="72">
        <v>0</v>
      </c>
      <c r="G6" s="72">
        <v>0</v>
      </c>
      <c r="H6" s="72">
        <v>0</v>
      </c>
      <c r="I6" s="72">
        <f t="shared" si="0"/>
        <v>6</v>
      </c>
      <c r="J6" s="66">
        <f t="shared" si="1"/>
        <v>0.26917900403768508</v>
      </c>
    </row>
    <row r="7" spans="1:10" ht="72.75" customHeight="1" thickTop="1" thickBot="1" x14ac:dyDescent="0.3">
      <c r="A7" s="61" t="s">
        <v>15</v>
      </c>
      <c r="B7" s="43" t="s">
        <v>16</v>
      </c>
      <c r="C7" s="71">
        <v>3</v>
      </c>
      <c r="D7" s="70">
        <v>0</v>
      </c>
      <c r="E7" s="70">
        <v>0</v>
      </c>
      <c r="F7" s="72">
        <v>0</v>
      </c>
      <c r="G7" s="72">
        <v>1</v>
      </c>
      <c r="H7" s="72">
        <v>0</v>
      </c>
      <c r="I7" s="72">
        <f t="shared" si="0"/>
        <v>4</v>
      </c>
      <c r="J7" s="66">
        <f t="shared" si="1"/>
        <v>0.17945266935845669</v>
      </c>
    </row>
    <row r="8" spans="1:10" ht="16.5" thickTop="1" thickBot="1" x14ac:dyDescent="0.3">
      <c r="A8" s="130" t="s">
        <v>19</v>
      </c>
      <c r="B8" s="43" t="s">
        <v>21</v>
      </c>
      <c r="C8" s="69">
        <v>2</v>
      </c>
      <c r="D8" s="70">
        <v>0</v>
      </c>
      <c r="E8" s="70">
        <v>0</v>
      </c>
      <c r="F8" s="72">
        <v>0</v>
      </c>
      <c r="G8" s="70">
        <v>0</v>
      </c>
      <c r="H8" s="70">
        <v>0</v>
      </c>
      <c r="I8" s="72">
        <f t="shared" si="0"/>
        <v>2</v>
      </c>
      <c r="J8" s="66">
        <f t="shared" si="1"/>
        <v>8.9726334679228345E-2</v>
      </c>
    </row>
    <row r="9" spans="1:10" ht="16.5" thickTop="1" thickBot="1" x14ac:dyDescent="0.3">
      <c r="A9" s="131"/>
      <c r="B9" s="43" t="s">
        <v>45</v>
      </c>
      <c r="C9" s="69">
        <v>1</v>
      </c>
      <c r="D9" s="70">
        <v>0</v>
      </c>
      <c r="E9" s="70">
        <v>0</v>
      </c>
      <c r="F9" s="72">
        <v>0</v>
      </c>
      <c r="G9" s="70">
        <v>0</v>
      </c>
      <c r="H9" s="70">
        <v>0</v>
      </c>
      <c r="I9" s="72">
        <f t="shared" si="0"/>
        <v>1</v>
      </c>
      <c r="J9" s="66">
        <f t="shared" si="1"/>
        <v>4.4863167339614173E-2</v>
      </c>
    </row>
    <row r="10" spans="1:10" ht="16.5" thickTop="1" thickBot="1" x14ac:dyDescent="0.3">
      <c r="A10" s="61" t="s">
        <v>22</v>
      </c>
      <c r="B10" s="43" t="s">
        <v>23</v>
      </c>
      <c r="C10" s="71">
        <v>3</v>
      </c>
      <c r="D10" s="70">
        <v>0</v>
      </c>
      <c r="E10" s="70">
        <v>0</v>
      </c>
      <c r="F10" s="72">
        <v>0</v>
      </c>
      <c r="G10" s="72">
        <v>0</v>
      </c>
      <c r="H10" s="72">
        <v>0</v>
      </c>
      <c r="I10" s="72">
        <f t="shared" si="0"/>
        <v>3</v>
      </c>
      <c r="J10" s="66">
        <f t="shared" si="1"/>
        <v>0.13458950201884254</v>
      </c>
    </row>
    <row r="11" spans="1:10" ht="51" customHeight="1" thickTop="1" thickBot="1" x14ac:dyDescent="0.3">
      <c r="A11" s="61" t="s">
        <v>26</v>
      </c>
      <c r="B11" s="67" t="s">
        <v>28</v>
      </c>
      <c r="C11" s="69">
        <v>2</v>
      </c>
      <c r="D11" s="70">
        <v>0</v>
      </c>
      <c r="E11" s="72">
        <v>2</v>
      </c>
      <c r="F11" s="72">
        <v>0</v>
      </c>
      <c r="G11" s="72">
        <v>1</v>
      </c>
      <c r="H11" s="72">
        <v>0</v>
      </c>
      <c r="I11" s="72">
        <f t="shared" si="0"/>
        <v>5</v>
      </c>
      <c r="J11" s="66">
        <f t="shared" si="1"/>
        <v>0.22431583669807087</v>
      </c>
    </row>
    <row r="12" spans="1:10" ht="16.5" thickTop="1" thickBot="1" x14ac:dyDescent="0.3">
      <c r="A12" s="132" t="s">
        <v>38</v>
      </c>
      <c r="B12" s="132"/>
      <c r="C12" s="38">
        <f t="shared" ref="C12:H12" si="2">SUM(C4:C11)</f>
        <v>17</v>
      </c>
      <c r="D12" s="38">
        <f t="shared" si="2"/>
        <v>0</v>
      </c>
      <c r="E12" s="38">
        <f t="shared" si="2"/>
        <v>3</v>
      </c>
      <c r="F12" s="38">
        <f t="shared" si="2"/>
        <v>204</v>
      </c>
      <c r="G12" s="38">
        <f t="shared" si="2"/>
        <v>2005</v>
      </c>
      <c r="H12" s="38">
        <f t="shared" si="2"/>
        <v>0</v>
      </c>
      <c r="I12" s="38">
        <f>SUM(C4:H11)</f>
        <v>2229</v>
      </c>
      <c r="J12" s="68">
        <f>I12/2229*100</f>
        <v>100</v>
      </c>
    </row>
    <row r="13" spans="1:10" ht="15.75" thickTop="1" x14ac:dyDescent="0.25"/>
  </sheetData>
  <mergeCells count="3">
    <mergeCell ref="A4:A5"/>
    <mergeCell ref="A8:A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Enero</vt:lpstr>
      <vt:lpstr>Febrero</vt:lpstr>
      <vt:lpstr>Marzo</vt:lpstr>
      <vt:lpstr>Abril</vt:lpstr>
      <vt:lpstr>Julio</vt:lpstr>
      <vt:lpstr>Agosto</vt:lpstr>
      <vt:lpstr>Septiembre</vt:lpstr>
      <vt:lpstr>Octubre</vt:lpstr>
      <vt:lpstr>Diciembre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Paula Andrea Fuertes Payan</cp:lastModifiedBy>
  <dcterms:created xsi:type="dcterms:W3CDTF">2020-06-08T17:11:38Z</dcterms:created>
  <dcterms:modified xsi:type="dcterms:W3CDTF">2022-10-04T21:14:23Z</dcterms:modified>
</cp:coreProperties>
</file>