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45" windowWidth="16515" windowHeight="11490" firstSheet="26" activeTab="29"/>
  </bookViews>
  <sheets>
    <sheet name="Enero" sheetId="1" r:id="rId1"/>
    <sheet name="Febrero" sheetId="2" r:id="rId2"/>
    <sheet name="Marzo" sheetId="3" r:id="rId3"/>
    <sheet name="Abril" sheetId="4" r:id="rId4"/>
    <sheet name="Julio" sheetId="5" r:id="rId5"/>
    <sheet name="Agosto" sheetId="6" r:id="rId6"/>
    <sheet name="Septiembre" sheetId="7" r:id="rId7"/>
    <sheet name="Octubre" sheetId="8" r:id="rId8"/>
    <sheet name="Diciembre" sheetId="9" r:id="rId9"/>
    <sheet name="Febrero 2021" sheetId="10" r:id="rId10"/>
    <sheet name="Marzo 2021" sheetId="11" r:id="rId11"/>
    <sheet name="Abril 2021" sheetId="12" r:id="rId12"/>
    <sheet name="MAYO 2021" sheetId="13" r:id="rId13"/>
    <sheet name="JUNIO 2021" sheetId="14" r:id="rId14"/>
    <sheet name="JULIO 2021" sheetId="15" r:id="rId15"/>
    <sheet name="AGOSTO 2021" sheetId="16" r:id="rId16"/>
    <sheet name="SEPTIEMBRE 2021" sheetId="17" r:id="rId17"/>
    <sheet name="OCTUBRE 2021" sheetId="18" r:id="rId18"/>
    <sheet name="NOVIEMBRE 2021" sheetId="19" r:id="rId19"/>
    <sheet name="ENERO 2022" sheetId="20" r:id="rId20"/>
    <sheet name="FEBRERO 2022" sheetId="21" r:id="rId21"/>
    <sheet name="MARZO 2022" sheetId="22" r:id="rId22"/>
    <sheet name="ABRIL 2022" sheetId="23" r:id="rId23"/>
    <sheet name="MAYO 2022" sheetId="24" r:id="rId24"/>
    <sheet name="JUNIO 2022" sheetId="25" r:id="rId25"/>
    <sheet name="JULIO 2022" sheetId="26" r:id="rId26"/>
    <sheet name="AGOSTO 2022" sheetId="27" r:id="rId27"/>
    <sheet name="SEPTIEMBRE 2022" sheetId="28" r:id="rId28"/>
    <sheet name="NOVIEMBRE 2022" sheetId="29" r:id="rId29"/>
    <sheet name="DICIEMBRE 2022" sheetId="30" r:id="rId30"/>
    <sheet name="Hoja2" sheetId="31" r:id="rId31"/>
  </sheets>
  <calcPr calcId="145621"/>
</workbook>
</file>

<file path=xl/calcChain.xml><?xml version="1.0" encoding="utf-8"?>
<calcChain xmlns="http://schemas.openxmlformats.org/spreadsheetml/2006/main">
  <c r="H16" i="28" l="1"/>
  <c r="G16" i="28"/>
  <c r="F16" i="28"/>
  <c r="E16" i="28"/>
  <c r="D16" i="28"/>
  <c r="I15" i="28"/>
  <c r="J15" i="28" s="1"/>
  <c r="I14" i="28"/>
  <c r="J14" i="28" s="1"/>
  <c r="I13" i="28"/>
  <c r="J13" i="28" s="1"/>
  <c r="I12" i="28"/>
  <c r="J12" i="28" s="1"/>
  <c r="C11" i="28"/>
  <c r="I11" i="28" s="1"/>
  <c r="J11" i="28" s="1"/>
  <c r="I10" i="28"/>
  <c r="J10" i="28" s="1"/>
  <c r="C9" i="28"/>
  <c r="I9" i="28" s="1"/>
  <c r="J9" i="28" s="1"/>
  <c r="I8" i="28"/>
  <c r="J8" i="28" s="1"/>
  <c r="I7" i="28"/>
  <c r="J7" i="28" s="1"/>
  <c r="C6" i="28"/>
  <c r="I6" i="28" s="1"/>
  <c r="J6" i="28" s="1"/>
  <c r="I5" i="28"/>
  <c r="J5" i="28" s="1"/>
  <c r="C5" i="28"/>
  <c r="I4" i="28"/>
  <c r="J4" i="28" s="1"/>
  <c r="C16" i="28" l="1"/>
  <c r="I16" i="28" s="1"/>
  <c r="J16" i="28" s="1"/>
  <c r="H17" i="27" l="1"/>
  <c r="G17" i="27"/>
  <c r="F17" i="27"/>
  <c r="E17" i="27"/>
  <c r="D17" i="27"/>
  <c r="I16" i="27"/>
  <c r="J16" i="27" s="1"/>
  <c r="I15" i="27"/>
  <c r="J15" i="27" s="1"/>
  <c r="I14" i="27"/>
  <c r="J14" i="27" s="1"/>
  <c r="C13" i="27"/>
  <c r="I13" i="27" s="1"/>
  <c r="J13" i="27" s="1"/>
  <c r="I12" i="27"/>
  <c r="J12" i="27" s="1"/>
  <c r="C11" i="27"/>
  <c r="I11" i="27" s="1"/>
  <c r="J11" i="27" s="1"/>
  <c r="I10" i="27"/>
  <c r="J10" i="27" s="1"/>
  <c r="I9" i="27"/>
  <c r="J9" i="27" s="1"/>
  <c r="I8" i="27"/>
  <c r="J8" i="27" s="1"/>
  <c r="C7" i="27"/>
  <c r="I7" i="27" s="1"/>
  <c r="J7" i="27" s="1"/>
  <c r="C6" i="27"/>
  <c r="I5" i="27"/>
  <c r="J5" i="27" s="1"/>
  <c r="C17" i="27" l="1"/>
  <c r="I17" i="27" s="1"/>
  <c r="J17" i="27" s="1"/>
  <c r="I6" i="27"/>
  <c r="J6" i="27" s="1"/>
  <c r="H17" i="26" l="1"/>
  <c r="G17" i="26"/>
  <c r="F17" i="26"/>
  <c r="E17" i="26"/>
  <c r="D17" i="26"/>
  <c r="I16" i="26"/>
  <c r="J16" i="26" s="1"/>
  <c r="I15" i="26"/>
  <c r="J15" i="26" s="1"/>
  <c r="C15" i="26"/>
  <c r="C14" i="26"/>
  <c r="I14" i="26" s="1"/>
  <c r="J14" i="26" s="1"/>
  <c r="I13" i="26"/>
  <c r="J13" i="26" s="1"/>
  <c r="I12" i="26"/>
  <c r="J12" i="26" s="1"/>
  <c r="I11" i="26"/>
  <c r="J11" i="26" s="1"/>
  <c r="I10" i="26"/>
  <c r="J10" i="26" s="1"/>
  <c r="I9" i="26"/>
  <c r="J9" i="26" s="1"/>
  <c r="C8" i="26"/>
  <c r="I8" i="26" s="1"/>
  <c r="J8" i="26" s="1"/>
  <c r="I7" i="26"/>
  <c r="J7" i="26" s="1"/>
  <c r="I6" i="26"/>
  <c r="J6" i="26" s="1"/>
  <c r="I5" i="26"/>
  <c r="J5" i="26" s="1"/>
  <c r="C17" i="26" l="1"/>
  <c r="I17" i="26" s="1"/>
  <c r="J17" i="26" s="1"/>
  <c r="H16" i="25"/>
  <c r="G16" i="25"/>
  <c r="F16" i="25"/>
  <c r="E16" i="25"/>
  <c r="D16" i="25"/>
  <c r="I15" i="25"/>
  <c r="J15" i="25" s="1"/>
  <c r="I14" i="25"/>
  <c r="J14" i="25" s="1"/>
  <c r="I13" i="25"/>
  <c r="J13" i="25" s="1"/>
  <c r="C12" i="25"/>
  <c r="I12" i="25" s="1"/>
  <c r="J12" i="25" s="1"/>
  <c r="I11" i="25"/>
  <c r="J11" i="25" s="1"/>
  <c r="I10" i="25"/>
  <c r="J10" i="25" s="1"/>
  <c r="I9" i="25"/>
  <c r="J9" i="25" s="1"/>
  <c r="C8" i="25"/>
  <c r="C16" i="25" s="1"/>
  <c r="I16" i="25" s="1"/>
  <c r="J16" i="25" s="1"/>
  <c r="I7" i="25"/>
  <c r="J7" i="25" s="1"/>
  <c r="I6" i="25"/>
  <c r="J6" i="25" s="1"/>
  <c r="I5" i="25"/>
  <c r="J5" i="25" s="1"/>
  <c r="I8" i="25" l="1"/>
  <c r="J8" i="25" s="1"/>
  <c r="H19" i="24" l="1"/>
  <c r="G19" i="24"/>
  <c r="F19" i="24"/>
  <c r="E19" i="24"/>
  <c r="D19" i="24"/>
  <c r="I18" i="24"/>
  <c r="J18" i="24" s="1"/>
  <c r="I17" i="24"/>
  <c r="J17" i="24" s="1"/>
  <c r="I16" i="24"/>
  <c r="J16" i="24" s="1"/>
  <c r="I15" i="24"/>
  <c r="J15" i="24" s="1"/>
  <c r="C14" i="24"/>
  <c r="I14" i="24" s="1"/>
  <c r="J14" i="24" s="1"/>
  <c r="I13" i="24"/>
  <c r="J13" i="24" s="1"/>
  <c r="C12" i="24"/>
  <c r="I12" i="24" s="1"/>
  <c r="J12" i="24" s="1"/>
  <c r="I11" i="24"/>
  <c r="J11" i="24" s="1"/>
  <c r="I10" i="24"/>
  <c r="J10" i="24" s="1"/>
  <c r="I9" i="24"/>
  <c r="J9" i="24" s="1"/>
  <c r="I8" i="24"/>
  <c r="J8" i="24" s="1"/>
  <c r="C7" i="24"/>
  <c r="I6" i="24"/>
  <c r="J6" i="24" s="1"/>
  <c r="I5" i="24"/>
  <c r="J5" i="24" s="1"/>
  <c r="C19" i="24" l="1"/>
  <c r="I19" i="24" s="1"/>
  <c r="J19" i="24" s="1"/>
  <c r="I7" i="24"/>
  <c r="J7" i="24" s="1"/>
  <c r="H15" i="23"/>
  <c r="G15" i="23"/>
  <c r="F15" i="23"/>
  <c r="E15" i="23"/>
  <c r="D15" i="23"/>
  <c r="I14" i="23"/>
  <c r="J14" i="23" s="1"/>
  <c r="I13" i="23"/>
  <c r="J13" i="23" s="1"/>
  <c r="C12" i="23"/>
  <c r="I12" i="23" s="1"/>
  <c r="J12" i="23" s="1"/>
  <c r="I11" i="23"/>
  <c r="J11" i="23" s="1"/>
  <c r="C10" i="23"/>
  <c r="I9" i="23"/>
  <c r="J9" i="23" s="1"/>
  <c r="I8" i="23"/>
  <c r="J8" i="23" s="1"/>
  <c r="C7" i="23"/>
  <c r="I6" i="23"/>
  <c r="J6" i="23" s="1"/>
  <c r="I5" i="23"/>
  <c r="J5" i="23" s="1"/>
  <c r="C15" i="23" l="1"/>
  <c r="I15" i="23"/>
  <c r="J15" i="23" s="1"/>
  <c r="I10" i="23"/>
  <c r="J10" i="23" s="1"/>
  <c r="I7" i="23"/>
  <c r="J7" i="23" s="1"/>
  <c r="H17" i="22" l="1"/>
  <c r="G17" i="22"/>
  <c r="F17" i="22"/>
  <c r="E17" i="22"/>
  <c r="D17" i="22"/>
  <c r="I16" i="22"/>
  <c r="J16" i="22" s="1"/>
  <c r="I15" i="22"/>
  <c r="J15" i="22" s="1"/>
  <c r="C14" i="22"/>
  <c r="I14" i="22" s="1"/>
  <c r="J14" i="22" s="1"/>
  <c r="I13" i="22"/>
  <c r="J13" i="22" s="1"/>
  <c r="C12" i="22"/>
  <c r="I12" i="22" s="1"/>
  <c r="J12" i="22" s="1"/>
  <c r="C11" i="22"/>
  <c r="I11" i="22" s="1"/>
  <c r="J11" i="22" s="1"/>
  <c r="I10" i="22"/>
  <c r="J10" i="22" s="1"/>
  <c r="C9" i="22"/>
  <c r="I9" i="22" s="1"/>
  <c r="J9" i="22" s="1"/>
  <c r="I8" i="22"/>
  <c r="J8" i="22" s="1"/>
  <c r="I7" i="22"/>
  <c r="J7" i="22" s="1"/>
  <c r="I6" i="22"/>
  <c r="J6" i="22" s="1"/>
  <c r="I5" i="22"/>
  <c r="J5" i="22" s="1"/>
  <c r="I17" i="22" l="1"/>
  <c r="J17" i="22" s="1"/>
  <c r="C17" i="22"/>
  <c r="H20" i="21"/>
  <c r="G20" i="21"/>
  <c r="F20" i="21"/>
  <c r="E20" i="21"/>
  <c r="D20" i="21"/>
  <c r="I19" i="21"/>
  <c r="J19" i="21" s="1"/>
  <c r="I18" i="21"/>
  <c r="J18" i="21" s="1"/>
  <c r="I17" i="21"/>
  <c r="J17" i="21" s="1"/>
  <c r="I16" i="21"/>
  <c r="J16" i="21" s="1"/>
  <c r="I15" i="21"/>
  <c r="J15" i="21" s="1"/>
  <c r="C14" i="21"/>
  <c r="I14" i="21" s="1"/>
  <c r="J14" i="21" s="1"/>
  <c r="I13" i="21"/>
  <c r="J13" i="21" s="1"/>
  <c r="I12" i="21"/>
  <c r="J12" i="21" s="1"/>
  <c r="I11" i="21"/>
  <c r="J11" i="21" s="1"/>
  <c r="C10" i="21"/>
  <c r="I10" i="21" s="1"/>
  <c r="J10" i="21" s="1"/>
  <c r="I9" i="21"/>
  <c r="J9" i="21" s="1"/>
  <c r="I8" i="21"/>
  <c r="J8" i="21" s="1"/>
  <c r="C7" i="21"/>
  <c r="C20" i="21" s="1"/>
  <c r="I6" i="21"/>
  <c r="J6" i="21" s="1"/>
  <c r="I5" i="21"/>
  <c r="J5" i="21" s="1"/>
  <c r="I20" i="21" l="1"/>
  <c r="J20" i="21" s="1"/>
  <c r="I7" i="21"/>
  <c r="J7" i="21" s="1"/>
  <c r="H16" i="20"/>
  <c r="G16" i="20"/>
  <c r="F16" i="20"/>
  <c r="E16" i="20"/>
  <c r="D16" i="20"/>
  <c r="I15" i="20"/>
  <c r="J15" i="20" s="1"/>
  <c r="J14" i="20"/>
  <c r="I14" i="20"/>
  <c r="I13" i="20"/>
  <c r="J13" i="20" s="1"/>
  <c r="C12" i="20"/>
  <c r="I12" i="20" s="1"/>
  <c r="J12" i="20" s="1"/>
  <c r="I11" i="20"/>
  <c r="J11" i="20" s="1"/>
  <c r="I10" i="20"/>
  <c r="J10" i="20" s="1"/>
  <c r="I9" i="20"/>
  <c r="J9" i="20" s="1"/>
  <c r="C8" i="20"/>
  <c r="C16" i="20" s="1"/>
  <c r="J7" i="20"/>
  <c r="I7" i="20"/>
  <c r="I6" i="20"/>
  <c r="J6" i="20" s="1"/>
  <c r="I16" i="20" l="1"/>
  <c r="J16" i="20" s="1"/>
  <c r="I8" i="20"/>
  <c r="J8" i="20" s="1"/>
  <c r="H16" i="19" l="1"/>
  <c r="G16" i="19"/>
  <c r="F16" i="19"/>
  <c r="E16" i="19"/>
  <c r="D16" i="19"/>
  <c r="I15" i="19"/>
  <c r="J15" i="19" s="1"/>
  <c r="I14" i="19"/>
  <c r="J14" i="19" s="1"/>
  <c r="I13" i="19"/>
  <c r="J13" i="19" s="1"/>
  <c r="C12" i="19"/>
  <c r="I12" i="19" s="1"/>
  <c r="J12" i="19" s="1"/>
  <c r="C11" i="19"/>
  <c r="I11" i="19" s="1"/>
  <c r="J11" i="19" s="1"/>
  <c r="I10" i="19"/>
  <c r="J10" i="19" s="1"/>
  <c r="I9" i="19"/>
  <c r="J9" i="19" s="1"/>
  <c r="I8" i="19"/>
  <c r="J8" i="19" s="1"/>
  <c r="C7" i="19"/>
  <c r="I16" i="19" s="1"/>
  <c r="J16" i="19" s="1"/>
  <c r="J6" i="19"/>
  <c r="I6" i="19"/>
  <c r="I5" i="19"/>
  <c r="J5" i="19" s="1"/>
  <c r="I4" i="19"/>
  <c r="J4" i="19" s="1"/>
  <c r="C16" i="19" l="1"/>
  <c r="I7" i="19"/>
  <c r="J7" i="19" s="1"/>
  <c r="H16" i="18" l="1"/>
  <c r="G16" i="18"/>
  <c r="F16" i="18"/>
  <c r="E16" i="18"/>
  <c r="D16" i="18"/>
  <c r="I15" i="18"/>
  <c r="J15" i="18" s="1"/>
  <c r="J14" i="18"/>
  <c r="I14" i="18"/>
  <c r="C13" i="18"/>
  <c r="C16" i="18" s="1"/>
  <c r="I12" i="18"/>
  <c r="J12" i="18" s="1"/>
  <c r="I11" i="18"/>
  <c r="J11" i="18" s="1"/>
  <c r="I10" i="18"/>
  <c r="J10" i="18" s="1"/>
  <c r="I9" i="18"/>
  <c r="J9" i="18" s="1"/>
  <c r="I8" i="18"/>
  <c r="J8" i="18" s="1"/>
  <c r="I7" i="18"/>
  <c r="J7" i="18" s="1"/>
  <c r="I6" i="18"/>
  <c r="J6" i="18" s="1"/>
  <c r="I5" i="18"/>
  <c r="J5" i="18" s="1"/>
  <c r="I4" i="18"/>
  <c r="J4" i="18" s="1"/>
  <c r="I13" i="18" l="1"/>
  <c r="J13" i="18" s="1"/>
  <c r="I16" i="18"/>
  <c r="J16" i="18" s="1"/>
  <c r="H18" i="17" l="1"/>
  <c r="G18" i="17"/>
  <c r="F18" i="17"/>
  <c r="E18" i="17"/>
  <c r="D18" i="17"/>
  <c r="I17" i="17"/>
  <c r="J17" i="17" s="1"/>
  <c r="I16" i="17"/>
  <c r="J16" i="17" s="1"/>
  <c r="C15" i="17"/>
  <c r="I15" i="17" s="1"/>
  <c r="J15" i="17" s="1"/>
  <c r="I14" i="17"/>
  <c r="J14" i="17" s="1"/>
  <c r="J13" i="17"/>
  <c r="I13" i="17"/>
  <c r="C12" i="17"/>
  <c r="I12" i="17" s="1"/>
  <c r="J12" i="17" s="1"/>
  <c r="I11" i="17"/>
  <c r="J11" i="17" s="1"/>
  <c r="I10" i="17"/>
  <c r="J10" i="17" s="1"/>
  <c r="C9" i="17"/>
  <c r="I8" i="17"/>
  <c r="J8" i="17" s="1"/>
  <c r="I7" i="17"/>
  <c r="J7" i="17" s="1"/>
  <c r="I6" i="17"/>
  <c r="J6" i="17" s="1"/>
  <c r="I5" i="17"/>
  <c r="C18" i="17" l="1"/>
  <c r="I18" i="17"/>
  <c r="J18" i="17" s="1"/>
  <c r="J5" i="17"/>
  <c r="I9" i="17"/>
  <c r="J9" i="17" s="1"/>
  <c r="I18" i="16" l="1"/>
  <c r="H18" i="16"/>
  <c r="G18" i="16"/>
  <c r="F18" i="16"/>
  <c r="E18" i="16"/>
  <c r="J17" i="16"/>
  <c r="K17" i="16" s="1"/>
  <c r="K16" i="16"/>
  <c r="J16" i="16"/>
  <c r="J15" i="16"/>
  <c r="K15" i="16" s="1"/>
  <c r="D14" i="16"/>
  <c r="J14" i="16" s="1"/>
  <c r="K14" i="16" s="1"/>
  <c r="J13" i="16"/>
  <c r="K13" i="16" s="1"/>
  <c r="J12" i="16"/>
  <c r="K12" i="16" s="1"/>
  <c r="D11" i="16"/>
  <c r="J10" i="16"/>
  <c r="K10" i="16" s="1"/>
  <c r="J9" i="16"/>
  <c r="K9" i="16" s="1"/>
  <c r="J8" i="16"/>
  <c r="K8" i="16" s="1"/>
  <c r="J7" i="16"/>
  <c r="K7" i="16" s="1"/>
  <c r="J6" i="16"/>
  <c r="K6" i="16" s="1"/>
  <c r="J5" i="16"/>
  <c r="J18" i="16" l="1"/>
  <c r="K18" i="16" s="1"/>
  <c r="J11" i="16"/>
  <c r="K11" i="16" s="1"/>
  <c r="K5" i="16"/>
  <c r="D18" i="16"/>
  <c r="I16" i="15"/>
  <c r="H16" i="15"/>
  <c r="G16" i="15"/>
  <c r="F16" i="15"/>
  <c r="E16" i="15"/>
  <c r="D15" i="15"/>
  <c r="J15" i="15" s="1"/>
  <c r="K15" i="15" s="1"/>
  <c r="D14" i="15"/>
  <c r="J14" i="15" s="1"/>
  <c r="K14" i="15" s="1"/>
  <c r="J13" i="15"/>
  <c r="K13" i="15" s="1"/>
  <c r="J12" i="15"/>
  <c r="K12" i="15" s="1"/>
  <c r="D11" i="15"/>
  <c r="J10" i="15"/>
  <c r="K10" i="15" s="1"/>
  <c r="J9" i="15"/>
  <c r="K9" i="15" s="1"/>
  <c r="J8" i="15"/>
  <c r="K8" i="15" s="1"/>
  <c r="J7" i="15"/>
  <c r="K7" i="15" s="1"/>
  <c r="J6" i="15"/>
  <c r="J5" i="15"/>
  <c r="K5" i="15" s="1"/>
  <c r="D16" i="15" l="1"/>
  <c r="K6" i="15"/>
  <c r="J16" i="15"/>
  <c r="K16" i="15" s="1"/>
  <c r="J11" i="15"/>
  <c r="K11" i="15" s="1"/>
  <c r="I15" i="14"/>
  <c r="H15" i="14"/>
  <c r="G15" i="14"/>
  <c r="F15" i="14"/>
  <c r="E15" i="14"/>
  <c r="D14" i="14"/>
  <c r="J14" i="14" s="1"/>
  <c r="K14" i="14" s="1"/>
  <c r="D13" i="14"/>
  <c r="J13" i="14" s="1"/>
  <c r="K13" i="14" s="1"/>
  <c r="J12" i="14"/>
  <c r="K12" i="14" s="1"/>
  <c r="D11" i="14"/>
  <c r="J10" i="14"/>
  <c r="K10" i="14" s="1"/>
  <c r="J9" i="14"/>
  <c r="K9" i="14" s="1"/>
  <c r="J8" i="14"/>
  <c r="K8" i="14" s="1"/>
  <c r="J7" i="14"/>
  <c r="K7" i="14" s="1"/>
  <c r="J6" i="14"/>
  <c r="K6" i="14" s="1"/>
  <c r="J5" i="14"/>
  <c r="D15" i="14" l="1"/>
  <c r="K5" i="14"/>
  <c r="J11" i="14"/>
  <c r="K11" i="14" s="1"/>
  <c r="J15" i="14"/>
  <c r="K15" i="14" s="1"/>
  <c r="I13" i="13"/>
  <c r="H13" i="13"/>
  <c r="G13" i="13"/>
  <c r="F13" i="13"/>
  <c r="E13" i="13"/>
  <c r="D12" i="13"/>
  <c r="J12" i="13" s="1"/>
  <c r="K12" i="13" s="1"/>
  <c r="J11" i="13"/>
  <c r="K11" i="13" s="1"/>
  <c r="D10" i="13"/>
  <c r="J10" i="13" s="1"/>
  <c r="K10" i="13" s="1"/>
  <c r="J9" i="13"/>
  <c r="K9" i="13" s="1"/>
  <c r="D8" i="13"/>
  <c r="J13" i="13" s="1"/>
  <c r="K13" i="13" s="1"/>
  <c r="J7" i="13"/>
  <c r="K7" i="13" s="1"/>
  <c r="J6" i="13"/>
  <c r="K6" i="13" s="1"/>
  <c r="J8" i="13" l="1"/>
  <c r="K8" i="13" s="1"/>
  <c r="D13" i="13"/>
  <c r="I19" i="12"/>
  <c r="H19" i="12"/>
  <c r="G19" i="12"/>
  <c r="F19" i="12"/>
  <c r="E19" i="12"/>
  <c r="J18" i="12"/>
  <c r="K18" i="12" s="1"/>
  <c r="J17" i="12"/>
  <c r="K17" i="12" s="1"/>
  <c r="J16" i="12"/>
  <c r="K16" i="12" s="1"/>
  <c r="J15" i="12"/>
  <c r="K15" i="12" s="1"/>
  <c r="D14" i="12"/>
  <c r="J14" i="12" s="1"/>
  <c r="K14" i="12" s="1"/>
  <c r="J13" i="12"/>
  <c r="K13" i="12" s="1"/>
  <c r="J12" i="12"/>
  <c r="K12" i="12" s="1"/>
  <c r="J11" i="12"/>
  <c r="K11" i="12" s="1"/>
  <c r="D10" i="12"/>
  <c r="J19" i="12" s="1"/>
  <c r="K19" i="12" s="1"/>
  <c r="J9" i="12"/>
  <c r="J8" i="12"/>
  <c r="K8" i="12" s="1"/>
  <c r="J7" i="12"/>
  <c r="K7" i="12" s="1"/>
  <c r="J6" i="12"/>
  <c r="K6" i="12" s="1"/>
  <c r="K9" i="12" l="1"/>
  <c r="D19" i="12"/>
  <c r="J10" i="12"/>
  <c r="K10" i="12" s="1"/>
  <c r="I14" i="11" l="1"/>
  <c r="H14" i="11"/>
  <c r="G14" i="11"/>
  <c r="F14" i="11"/>
  <c r="E14" i="11"/>
  <c r="J13" i="11"/>
  <c r="K13" i="11" s="1"/>
  <c r="D13" i="11"/>
  <c r="J12" i="11"/>
  <c r="K12" i="11" s="1"/>
  <c r="D11" i="11"/>
  <c r="J11" i="11" s="1"/>
  <c r="K11" i="11" s="1"/>
  <c r="J10" i="11"/>
  <c r="K10" i="11" s="1"/>
  <c r="J9" i="11"/>
  <c r="K9" i="11" s="1"/>
  <c r="J8" i="11"/>
  <c r="K8" i="11" s="1"/>
  <c r="D7" i="11"/>
  <c r="J14" i="11" s="1"/>
  <c r="K14" i="11" s="1"/>
  <c r="K6" i="11"/>
  <c r="J6" i="11"/>
  <c r="J5" i="11"/>
  <c r="K5" i="11" s="1"/>
  <c r="J4" i="11"/>
  <c r="K4" i="11" s="1"/>
  <c r="D14" i="11" l="1"/>
  <c r="J7" i="11"/>
  <c r="K7" i="11" s="1"/>
  <c r="H14" i="10"/>
  <c r="G14" i="10"/>
  <c r="F14" i="10"/>
  <c r="E14" i="10"/>
  <c r="D14" i="10"/>
  <c r="I13" i="10"/>
  <c r="J13" i="10" s="1"/>
  <c r="I12" i="10"/>
  <c r="J12" i="10" s="1"/>
  <c r="C11" i="10"/>
  <c r="I11" i="10" s="1"/>
  <c r="J11" i="10" s="1"/>
  <c r="I10" i="10"/>
  <c r="J10" i="10" s="1"/>
  <c r="C9" i="10"/>
  <c r="I9" i="10" s="1"/>
  <c r="J9" i="10" s="1"/>
  <c r="I8" i="10"/>
  <c r="J8" i="10" s="1"/>
  <c r="C7" i="10"/>
  <c r="I6" i="10"/>
  <c r="J6" i="10" s="1"/>
  <c r="I5" i="10"/>
  <c r="J5" i="10" s="1"/>
  <c r="C14" i="10" l="1"/>
  <c r="I14" i="10"/>
  <c r="J14" i="10" s="1"/>
  <c r="I7" i="10"/>
  <c r="J7" i="10" s="1"/>
  <c r="I12" i="9"/>
  <c r="J12" i="9" s="1"/>
  <c r="H12" i="9"/>
  <c r="G12" i="9"/>
  <c r="F12" i="9"/>
  <c r="E12" i="9"/>
  <c r="D12" i="9"/>
  <c r="I11" i="9"/>
  <c r="J11" i="9" s="1"/>
  <c r="I10" i="9"/>
  <c r="J10" i="9" s="1"/>
  <c r="I9" i="9"/>
  <c r="J9" i="9" s="1"/>
  <c r="I8" i="9"/>
  <c r="J8" i="9" s="1"/>
  <c r="I7" i="9"/>
  <c r="J7" i="9" s="1"/>
  <c r="C6" i="9"/>
  <c r="C12" i="9" s="1"/>
  <c r="I5" i="9"/>
  <c r="I4" i="9"/>
  <c r="J4" i="9" s="1"/>
  <c r="J5" i="9" l="1"/>
  <c r="I6" i="9"/>
  <c r="J6" i="9" s="1"/>
  <c r="H12" i="8" l="1"/>
  <c r="G12" i="8"/>
  <c r="F12" i="8"/>
  <c r="E12" i="8"/>
  <c r="D12" i="8"/>
  <c r="C11" i="8"/>
  <c r="I11" i="8" s="1"/>
  <c r="J11" i="8" s="1"/>
  <c r="I10" i="8"/>
  <c r="J10" i="8" s="1"/>
  <c r="I9" i="8"/>
  <c r="J9" i="8" s="1"/>
  <c r="I8" i="8"/>
  <c r="J8" i="8" s="1"/>
  <c r="I7" i="8"/>
  <c r="J7" i="8" s="1"/>
  <c r="I6" i="8"/>
  <c r="J6" i="8" s="1"/>
  <c r="I5" i="8"/>
  <c r="J5" i="8" s="1"/>
  <c r="I4" i="8"/>
  <c r="J4" i="8" s="1"/>
  <c r="I12" i="8" l="1"/>
  <c r="J12" i="8" s="1"/>
  <c r="C12" i="8"/>
  <c r="H17" i="7"/>
  <c r="G17" i="7"/>
  <c r="F17" i="7"/>
  <c r="E17" i="7"/>
  <c r="D17" i="7"/>
  <c r="I16" i="7"/>
  <c r="J16" i="7" s="1"/>
  <c r="I15" i="7"/>
  <c r="J15" i="7" s="1"/>
  <c r="C14" i="7"/>
  <c r="I14" i="7" s="1"/>
  <c r="J14" i="7" s="1"/>
  <c r="I13" i="7"/>
  <c r="J13" i="7" s="1"/>
  <c r="I12" i="7"/>
  <c r="J12" i="7" s="1"/>
  <c r="I11" i="7"/>
  <c r="J11" i="7" s="1"/>
  <c r="I10" i="7"/>
  <c r="J10" i="7" s="1"/>
  <c r="I9" i="7"/>
  <c r="J9" i="7" s="1"/>
  <c r="I8" i="7"/>
  <c r="J8" i="7" s="1"/>
  <c r="C7" i="7"/>
  <c r="I6" i="7"/>
  <c r="J6" i="7" s="1"/>
  <c r="I5" i="7"/>
  <c r="J5" i="7" s="1"/>
  <c r="I4" i="7"/>
  <c r="J4" i="7" s="1"/>
  <c r="C17" i="7" l="1"/>
  <c r="I7" i="7"/>
  <c r="J7" i="7" s="1"/>
  <c r="I17" i="7"/>
  <c r="J17" i="7" s="1"/>
  <c r="H17" i="6"/>
  <c r="G17" i="6"/>
  <c r="F17" i="6"/>
  <c r="E17" i="6"/>
  <c r="D17" i="6"/>
  <c r="I16" i="6"/>
  <c r="J16" i="6" s="1"/>
  <c r="C15" i="6"/>
  <c r="I15" i="6" s="1"/>
  <c r="J15" i="6" s="1"/>
  <c r="I14" i="6"/>
  <c r="J14" i="6" s="1"/>
  <c r="I13" i="6"/>
  <c r="J13" i="6" s="1"/>
  <c r="I12" i="6"/>
  <c r="J12" i="6" s="1"/>
  <c r="I11" i="6"/>
  <c r="J11" i="6" s="1"/>
  <c r="I10" i="6"/>
  <c r="J10" i="6" s="1"/>
  <c r="I9" i="6"/>
  <c r="J9" i="6" s="1"/>
  <c r="I8" i="6"/>
  <c r="J8" i="6" s="1"/>
  <c r="C7" i="6"/>
  <c r="I7" i="6" s="1"/>
  <c r="J7" i="6" s="1"/>
  <c r="C6" i="6"/>
  <c r="I5" i="6"/>
  <c r="J4" i="6"/>
  <c r="I4" i="6"/>
  <c r="J5" i="6" l="1"/>
  <c r="C17" i="6"/>
  <c r="I17" i="6"/>
  <c r="J17" i="6" s="1"/>
  <c r="I6" i="6"/>
  <c r="H18" i="5"/>
  <c r="G18" i="5"/>
  <c r="F18" i="5"/>
  <c r="E18" i="5"/>
  <c r="D18" i="5"/>
  <c r="I17" i="5"/>
  <c r="J17" i="5" s="1"/>
  <c r="I16" i="5"/>
  <c r="J16" i="5" s="1"/>
  <c r="I15" i="5"/>
  <c r="J15" i="5" s="1"/>
  <c r="I14" i="5"/>
  <c r="J14" i="5" s="1"/>
  <c r="I13" i="5"/>
  <c r="J13" i="5" s="1"/>
  <c r="C12" i="5"/>
  <c r="I12" i="5" s="1"/>
  <c r="J12" i="5" s="1"/>
  <c r="I11" i="5"/>
  <c r="J11" i="5" s="1"/>
  <c r="I10" i="5"/>
  <c r="J10" i="5" s="1"/>
  <c r="I9" i="5"/>
  <c r="J9" i="5" s="1"/>
  <c r="I8" i="5"/>
  <c r="J8" i="5" s="1"/>
  <c r="C7" i="5"/>
  <c r="I18" i="5" s="1"/>
  <c r="J18" i="5" s="1"/>
  <c r="I6" i="5"/>
  <c r="J6" i="5" s="1"/>
  <c r="I5" i="5"/>
  <c r="J6" i="6" l="1"/>
  <c r="J5" i="5"/>
  <c r="I7" i="5"/>
  <c r="C18" i="5"/>
  <c r="J7" i="5" l="1"/>
</calcChain>
</file>

<file path=xl/sharedStrings.xml><?xml version="1.0" encoding="utf-8"?>
<sst xmlns="http://schemas.openxmlformats.org/spreadsheetml/2006/main" count="1407" uniqueCount="341">
  <si>
    <t>DEPENDENCIA</t>
  </si>
  <si>
    <t xml:space="preserve"> GRUPOS  DE TRABAJO</t>
  </si>
  <si>
    <t>PETICIONES</t>
  </si>
  <si>
    <t>QUEJAS</t>
  </si>
  <si>
    <t>RECLAMOS</t>
  </si>
  <si>
    <t>SUGERENCIAS</t>
  </si>
  <si>
    <t>FELICITACIONES</t>
  </si>
  <si>
    <t>DENUNCIAS</t>
  </si>
  <si>
    <t>SUBTOTAL</t>
  </si>
  <si>
    <t>%</t>
  </si>
  <si>
    <t>SUBDIRECCIÓN GENERAL DE OPERACIONES LOGÍSTICAS</t>
  </si>
  <si>
    <t xml:space="preserve">ADMINISTRACION COMEDORES DE TROPA (CATERING) </t>
  </si>
  <si>
    <t>ALMACENAMIENTO Y DISTRIBUCIÓN</t>
  </si>
  <si>
    <t>SUBDIRECCIÓN GENERAL DE CONTRATOS</t>
  </si>
  <si>
    <t xml:space="preserve">GRUPO DE GESTIÓN CONTRACTUAL </t>
  </si>
  <si>
    <t xml:space="preserve">SUBDIRECCIÓN GENERAL DE ABASTECIMIENTOS Y SERVICIOS   </t>
  </si>
  <si>
    <t>OTROS ABASTECIMIENTOS Y SERVICIOS (COMERCIALIZACIÓN- CRÉDITOS)</t>
  </si>
  <si>
    <t xml:space="preserve">SECRETARÍA GENERAL </t>
  </si>
  <si>
    <t>ATENCIÓN Y ORIENTACIÓN CIUDADANA</t>
  </si>
  <si>
    <t>DIRECCIÓN FINANCIERA</t>
  </si>
  <si>
    <t>CARTERA</t>
  </si>
  <si>
    <t>CONTABILIDAD</t>
  </si>
  <si>
    <t>OFICINA JURÍDICA</t>
  </si>
  <si>
    <t>ASESORIA JURÍDICA</t>
  </si>
  <si>
    <t>OFICINA TECNOLOGIA</t>
  </si>
  <si>
    <t>REDES DE INFRAESTRUCTURA TECNOLOGICA</t>
  </si>
  <si>
    <t>DIRECCIÓN ADMINISTRATIVA Y DE TALENTO HUMANO</t>
  </si>
  <si>
    <t>SERVICIOS ADMINISTRATIVOS</t>
  </si>
  <si>
    <t>TALENTO HUMANO</t>
  </si>
  <si>
    <t>CONTROL INTERNO</t>
  </si>
  <si>
    <t>GESTIÓN DE SEGUIMIENTO Y EVALUACIÓN</t>
  </si>
  <si>
    <t>CONTROL INTERNO DISCIPLINARIO</t>
  </si>
  <si>
    <t>ASUNTOS DISCIPLINARIOS Y ADMINISTRATIVOS</t>
  </si>
  <si>
    <t>TOTAL</t>
  </si>
  <si>
    <t>DIRECCIÓN GENERAL</t>
  </si>
  <si>
    <t>DESPACHO</t>
  </si>
  <si>
    <t xml:space="preserve">GRUPO DE GESTIÓN PRECONTRACTUAL </t>
  </si>
  <si>
    <t>GESTION DOCUMENTAL</t>
  </si>
  <si>
    <t xml:space="preserve">                  TOTAL</t>
  </si>
  <si>
    <t>ABASTECIMIENTO CLASE I  (BOLSA)</t>
  </si>
  <si>
    <t>PLANIFICACIÓN Y OPERACIÓN LOGÍSTICA DE ABASTECIMIENTOS CLASE III</t>
  </si>
  <si>
    <t xml:space="preserve">DESAPACHO </t>
  </si>
  <si>
    <t xml:space="preserve">             TOTAL</t>
  </si>
  <si>
    <t>INFRAESTRUCTURA</t>
  </si>
  <si>
    <t>PRESUPUESTO</t>
  </si>
  <si>
    <t>CUENTAS POR PAGAR</t>
  </si>
  <si>
    <t>TESORERÍA</t>
  </si>
  <si>
    <t>ASUNTOS DISCIPLINARIO</t>
  </si>
  <si>
    <t>PLANEACIÓN E INNOVACION INSTITUCIONAL</t>
  </si>
  <si>
    <t>GESTION DE PLANEACIÓN ESTRATEGICA</t>
  </si>
  <si>
    <t>DESPACHO SECRETARÍA</t>
  </si>
  <si>
    <t xml:space="preserve">GRUPO DE GESTIÓN PRETRACTUAL </t>
  </si>
  <si>
    <t>GRUPO DE GESTIÓN CONTRACTUAL</t>
  </si>
  <si>
    <t xml:space="preserve">SUBDIRECCIÓN GENERAL DE ABASTECIMIENTOS BIENES Y SERVICIOS </t>
  </si>
  <si>
    <t>CONSOLIDADO GENERAL DE LAS SOLICITUDES ALLEGADA A LA ENTIDAD - MARZO 2021</t>
  </si>
  <si>
    <t>Elaboro:</t>
  </si>
  <si>
    <t>Paula andrea Fuertes Payan</t>
  </si>
  <si>
    <t>SUBDIRECCIÓN GENERAL DE OPERACIÓN LOGÍSTICA</t>
  </si>
  <si>
    <t>CONSOLIDADO GENERAL DE LAS SOLICITUDES ALLEGADA A LA ENTIDAD - MAYO 2021</t>
  </si>
  <si>
    <t xml:space="preserve">SUBDIRECCIÓN GENERAL DE ABASTECIMIENTOS BIENES Y SERVICIOS   </t>
  </si>
  <si>
    <t>Técnico Paula andrea Fuertes Payan</t>
  </si>
  <si>
    <t>SECRETARIA GENERAL</t>
  </si>
  <si>
    <t>CLASE I</t>
  </si>
  <si>
    <t>CONSOLIDADO GENERAL DE LAS SOLICITUDES ALLEGADA A LA ENTIDAD - JULIO 2021</t>
  </si>
  <si>
    <t>NÓMINA</t>
  </si>
  <si>
    <t>CONSOLIDADO GENERAL DE LAS SOLICITUDES ALLEGADA A LA ENTIDAD -  AGOSTO 2021</t>
  </si>
  <si>
    <t>GESTION DE REDES DEVALOR</t>
  </si>
  <si>
    <t>CONSOLIDADO GENERAL DE LAS SOLICITUDES ALLEGADA A LA ENTIDAD -  SEPTIEMBRE  2021</t>
  </si>
  <si>
    <t>REDES E INFRAESTRUCTURA TECNOLOGICA</t>
  </si>
  <si>
    <t>MARKETING Y COMUNICACIONES</t>
  </si>
  <si>
    <t>GESTIÓN DOCUMENTAL</t>
  </si>
  <si>
    <t>CONSOLIDADO GENERAL DE LAS SOLICITUDES ALLEGADA A LA ENTIDAD -  NOVIEBRE  2021</t>
  </si>
  <si>
    <t>ALMACENAMIENTO Y DISTRIBUCION (CADS)</t>
  </si>
  <si>
    <t>CONSOLIDADO GENERAL DE LAS SOLICITUDES ALLEGADA A LA ENTIDAD -  ENERO  2022</t>
  </si>
  <si>
    <t>DIRECCIÓN DE INFRAESTRUCTURA</t>
  </si>
  <si>
    <t>TESORERIA</t>
  </si>
  <si>
    <t>COSTOS</t>
  </si>
  <si>
    <t>GESTIÓN NÓMINA</t>
  </si>
  <si>
    <t>CONSOLIDADO GENERAL DE LAS SOLICITUDES ALLEGADA A LA ENTIDAD -  FEBRERO 2022</t>
  </si>
  <si>
    <t>DIRECCION DE PRODUCCION            (CAFÉ-PANAD-RACI)</t>
  </si>
  <si>
    <t>CONSOLIDADO GENERAL DE LAS SOLICITUDES ALLEGADA A LA ENTIDAD -  MARZO 2022</t>
  </si>
  <si>
    <t>CONSOLIDADO GENERAL DE LAS SOLICITUDES ALLEGADA A LA ENTIDAD -  ABRIL 2022</t>
  </si>
  <si>
    <t>DESARROLLO ORGANIZACIONAL</t>
  </si>
  <si>
    <t>SALUD OCUPACIONAL Y GESTION AMBIENTAL</t>
  </si>
  <si>
    <t>CONSOLIDADO GENERAL DE LAS SOLICITUDES ALLEGADA A LA ENTIDAD -  MAYO 2022</t>
  </si>
  <si>
    <t>CONSOLIDADO GENERAL DE LAS SOLICITUDES ALLEGADA A LA ENTIDAD -  JUNIO 2022</t>
  </si>
  <si>
    <t>CONSOLIDADO GENERAL DE LAS SOLICITUDES ALLEGADA A LA ENTIDAD -  JULIO 2022</t>
  </si>
  <si>
    <t>SEGURIDAD Y SALUD EN EL TRABAJO</t>
  </si>
  <si>
    <t>CONSOLIDADO GENERAL DE LAS SOLICITUDES ALLEGADA A LA ENTIDAD - AGOSTO 2022</t>
  </si>
  <si>
    <t xml:space="preserve">CONTROL INTERNO </t>
  </si>
  <si>
    <t>FECHA DE CREACION</t>
  </si>
  <si>
    <t xml:space="preserve">NOMBRE </t>
  </si>
  <si>
    <t>ID</t>
  </si>
  <si>
    <t>TIPO DE SOLICITUD</t>
  </si>
  <si>
    <t xml:space="preserve">ESTADO </t>
  </si>
  <si>
    <t>DIA DE RESPUESTA</t>
  </si>
  <si>
    <t>RESPUESTA No. RADICADO OFICIO</t>
  </si>
  <si>
    <t>SOLUCIONES PLASTICAS INDUSTRIALES SOLIPLAST S.A</t>
  </si>
  <si>
    <t>SOLICITUDES GENERALES</t>
  </si>
  <si>
    <t>CERRADO</t>
  </si>
  <si>
    <t>CERTIFICADO DE FECHA DE EXPEDICIÓN 02 DE NOVIEMBRE DEL 2022</t>
  </si>
  <si>
    <t>JUAN MALTES ORREGO</t>
  </si>
  <si>
    <t>2022110110064991-</t>
  </si>
  <si>
    <t>INGRY JHOAN SERRANO ORDUZ</t>
  </si>
  <si>
    <t>CERTIFICADO LABORAL DE FECHA DE EXPEDICIÓN 02/11/2022</t>
  </si>
  <si>
    <t>CERTIFICADO LABORAL DE FECHA DE EXPEDICIÓN 09/11/2022</t>
  </si>
  <si>
    <t>JESSICA FERNANDA MORA COLLAZOS</t>
  </si>
  <si>
    <t xml:space="preserve">CERTIFICADO DE INGRESOS Y RETENCIONES - EXPEDICIÓN 02/11/2022 </t>
  </si>
  <si>
    <t>WILSON ALIRIO PIRAQUIVE GONZALEZ</t>
  </si>
  <si>
    <t>PETICIÓN</t>
  </si>
  <si>
    <t>2022100500048921-</t>
  </si>
  <si>
    <t>ANONIMO - CAMILO BARRETO</t>
  </si>
  <si>
    <t>RECLAMO</t>
  </si>
  <si>
    <t>2022110100242553-</t>
  </si>
  <si>
    <t>DANYOR TORRES VARGAS</t>
  </si>
  <si>
    <t>CERTIFICADO SALDO DE FECHA DE EXPEDICIÓN 10/11/2022</t>
  </si>
  <si>
    <t>APODERADO JUAN CARLOS OSTOS CEPEDA</t>
  </si>
  <si>
    <t>2022110110064671 -</t>
  </si>
  <si>
    <t>GUILLERMO ENRIQUE GIRALDO FORERO</t>
  </si>
  <si>
    <t>CERRADO-TIEMPO EXTENDIDO</t>
  </si>
  <si>
    <t>2022140400071201-</t>
  </si>
  <si>
    <t>JAVIER ANDRES GARCIA LOPEZ</t>
  </si>
  <si>
    <t>2022120220064241-</t>
  </si>
  <si>
    <t>RUTH NATALY VILLAMIL RODRIGUEZ</t>
  </si>
  <si>
    <t>CERTIFICADO LABORAL DE FECHA DE EXPEDICIÓN 11/11/2022</t>
  </si>
  <si>
    <t>ANGELA FERNANDA MARTINEZ DELGADO</t>
  </si>
  <si>
    <t>2022110110067101-</t>
  </si>
  <si>
    <t>HERIBERTO APONTE GUERRERO</t>
  </si>
  <si>
    <t>2022110110067011-</t>
  </si>
  <si>
    <t>JESSICA FERNANDA MORA COLLAZOS -  Provispol S.A</t>
  </si>
  <si>
    <t xml:space="preserve">CERTIFICADO DE INGRESOS Y RETENCIONES - EXPEDICIÓN 08/11/2022 </t>
  </si>
  <si>
    <t>DANINSON DAVID FLOREZ ANAYA</t>
  </si>
  <si>
    <t>2022110110064701 -</t>
  </si>
  <si>
    <t>CLARA MERCEDES POLANIA IPUZ</t>
  </si>
  <si>
    <t>2022141220065701-</t>
  </si>
  <si>
    <t>ESTHEFANY AMOROCHO AMOROCHO</t>
  </si>
  <si>
    <t>2022110110207053 -</t>
  </si>
  <si>
    <t>MARIA LUCILA SARMIENTO AGUILAR</t>
  </si>
  <si>
    <t>2022110110067851-</t>
  </si>
  <si>
    <t>NELLA PATICIA CHAMS SANMARTIN</t>
  </si>
  <si>
    <t>2022110110064361-</t>
  </si>
  <si>
    <t>LUZ DARY QUINTERO PICO</t>
  </si>
  <si>
    <t>2022110110067111-</t>
  </si>
  <si>
    <t>YAZMIN BAUTISTA CELIS</t>
  </si>
  <si>
    <t>2022110110065411-</t>
  </si>
  <si>
    <t>CERTIFICADO ACTA DE POSESIÓN - N.54 31 DE MARZO 2022</t>
  </si>
  <si>
    <t>SULMA MARTINEZ</t>
  </si>
  <si>
    <t>QUEJA</t>
  </si>
  <si>
    <t>TANIA YASMITH GONZALEZ DIETES</t>
  </si>
  <si>
    <t>2022110110066671-</t>
  </si>
  <si>
    <t>2022110110066651-</t>
  </si>
  <si>
    <t>LAURA MARGARITA ANIBAL SANTANA</t>
  </si>
  <si>
    <t>2022110110066701-</t>
  </si>
  <si>
    <t>JAILENE MARCELA SOLANO MERCADO</t>
  </si>
  <si>
    <t>2022110110065441-</t>
  </si>
  <si>
    <t>JOHN ALEXANDER MORALES PEÑA</t>
  </si>
  <si>
    <t>2022110250066451-</t>
  </si>
  <si>
    <t>VICTOR ANDRES BARRERA - : VEREDA LAS FLORES -  FREDDY ORLANDO BORRAS ERAZO - CANTON MILITAR GUASIMAL</t>
  </si>
  <si>
    <t>PETICION ENTRE AUTORIDADES</t>
  </si>
  <si>
    <t>2022140010065351-</t>
  </si>
  <si>
    <t>2022110210066771-</t>
  </si>
  <si>
    <t>LUIS RENE PICO</t>
  </si>
  <si>
    <t>2022130020066151-</t>
  </si>
  <si>
    <t>MARIA BRICEIDA BARRETO CHITIVA</t>
  </si>
  <si>
    <t>2022110110067001-</t>
  </si>
  <si>
    <t>NELY JOHANA TOBON ROJAS</t>
  </si>
  <si>
    <t>2022110110066681-</t>
  </si>
  <si>
    <t>SANDRA MILENA GOMEZ TOQUICA</t>
  </si>
  <si>
    <t>2022110110242303-</t>
  </si>
  <si>
    <t>LUZ DEYCI PAREDES HOYOS</t>
  </si>
  <si>
    <t>2022110110066691-</t>
  </si>
  <si>
    <t>SULMA MARTINEZ RAMOS</t>
  </si>
  <si>
    <t>2022110250665991-</t>
  </si>
  <si>
    <t>NELLY JOHANNA CHACON VILAMIZAR</t>
  </si>
  <si>
    <t xml:space="preserve">11695
</t>
  </si>
  <si>
    <t>2022110110067081-</t>
  </si>
  <si>
    <t>JULIO CESAR TORRRENTE QUINTERO</t>
  </si>
  <si>
    <t>2022110110067441-</t>
  </si>
  <si>
    <t>SONIA NATHALIE CASTAÑO MORALES</t>
  </si>
  <si>
    <t>2022110110067691-</t>
  </si>
  <si>
    <t xml:space="preserve">DIEGO ALEJANDRO BELTRAN </t>
  </si>
  <si>
    <t>20221101110067051-</t>
  </si>
  <si>
    <t>VALERIA PIEDRAHITA</t>
  </si>
  <si>
    <t>DENUNCIA</t>
  </si>
  <si>
    <t>2022110110066991-</t>
  </si>
  <si>
    <t>RIVARDO TAFUR TAFUR</t>
  </si>
  <si>
    <t>2022110110067451-</t>
  </si>
  <si>
    <t>NICOLLE DAYAN HERNANDEZ PARRA - MONTACARGAS FERNANDEZ Y LOZANO</t>
  </si>
  <si>
    <t>2022110210067751-</t>
  </si>
  <si>
    <t>MARIA SILVA BUITRAGO</t>
  </si>
  <si>
    <t>2022110110067461-</t>
  </si>
  <si>
    <t>DIANA PAOLA  GONZALEZ CORTES - INDUSTRIA COLOMBIANA DE CARNE S.A.</t>
  </si>
  <si>
    <t xml:space="preserve">CERTIFICADO DE INGRESOS Y RETENCIONES - EXPEDICIÓN 18/11/2022 </t>
  </si>
  <si>
    <t xml:space="preserve"> ABOGADA LUIS CARLOS TORREGROZA DIAZGRANADOS</t>
  </si>
  <si>
    <t>CERTIFICADO CONTRACTUAL- EXPEDICIÓN 28/11/2022</t>
  </si>
  <si>
    <t>MONICA AZZA BULLA</t>
  </si>
  <si>
    <t>2022130000069081-</t>
  </si>
  <si>
    <t>JUAN MANUEL ROBLEDO MARIN</t>
  </si>
  <si>
    <t>2022110110068831-</t>
  </si>
  <si>
    <t>DIANA CAROLINA GOMEZ RAMÍREZ</t>
  </si>
  <si>
    <t>2022110110068851-</t>
  </si>
  <si>
    <t>YEIMY NATALY CARO AVILA</t>
  </si>
  <si>
    <t>2022110110068871-</t>
  </si>
  <si>
    <t>JULANIS KATHERINE RODRIGUEZ TARAZONA</t>
  </si>
  <si>
    <t>2022110110069331-</t>
  </si>
  <si>
    <t>NANCY DE LA CANDELARIA PINDEDA VILLA</t>
  </si>
  <si>
    <t>DESPRENDIBES DE NOMINA - FECHA DE EXPEDICIÓN - 02/12/2022</t>
  </si>
  <si>
    <t>LUIS ALFONSO RICO</t>
  </si>
  <si>
    <t>2022110110069311-</t>
  </si>
  <si>
    <t>YANETH MARIA MACIAS MUÑOZ</t>
  </si>
  <si>
    <t>2022110110070521-</t>
  </si>
  <si>
    <t>CRISTIAN JOSE GUERRERO BERMEJO - PROCURADURÍA REGIONAL BOLÍVAR</t>
  </si>
  <si>
    <t xml:space="preserve">ENTES DE CONTROL </t>
  </si>
  <si>
    <t>2022100500066851-</t>
  </si>
  <si>
    <t>FREDY ORLANDO GRANADA VARGAS</t>
  </si>
  <si>
    <t>CERTIFICADO LABORAL DE FECHA DE EXPEDICIÓN 28/11/2022</t>
  </si>
  <si>
    <t>JOSE ANGEL LOMBANA LOZANO</t>
  </si>
  <si>
    <t>CERTIFICADO CONTRACTUAL- EXPEDICIÓN 07/12/2022</t>
  </si>
  <si>
    <t>LIZA ANDREINA DUKON MORA</t>
  </si>
  <si>
    <t>202213002006961-</t>
  </si>
  <si>
    <t>RESOLUCIÓN No. 2122 EXPEDICIÓN - 24/11/2022</t>
  </si>
  <si>
    <t>SEBASTIAN DAVID CASTELLANOS MORENO</t>
  </si>
  <si>
    <t>2020110250068531-</t>
  </si>
  <si>
    <t>NESTOR FABIAS ARIAS GONZALEZ</t>
  </si>
  <si>
    <t>2022110110070551-</t>
  </si>
  <si>
    <t>CESAR ADOLFO  GONZALEZ PEÑA</t>
  </si>
  <si>
    <t>2022110110070571-</t>
  </si>
  <si>
    <t>LEIDY ANDREA  APARICIO CAICEDO</t>
  </si>
  <si>
    <t>2022110110071541-</t>
  </si>
  <si>
    <t>LYZBETH TOREES GOMEZ</t>
  </si>
  <si>
    <t>RESOLUCIÓN No. 722 EXPEDICIÓN - 13/05/2022</t>
  </si>
  <si>
    <t>20221102100712551-</t>
  </si>
  <si>
    <t>JULIE RUIZ - INVERSION Y HOGAR SAS</t>
  </si>
  <si>
    <t xml:space="preserve">CERTIFICADO DE INGRESOS Y RETENCIONES - EXPEDICIÓN 05/12/2022 </t>
  </si>
  <si>
    <t>JOHN FABIAN AVILA GUZMAN</t>
  </si>
  <si>
    <t>TRAMITE</t>
  </si>
  <si>
    <t>JAIME  ARLEY FERNANDEZ VALENCIA</t>
  </si>
  <si>
    <t>2022110110071901-</t>
  </si>
  <si>
    <t>ANGELA  VIANEY ALFONSO ACOSTA - COMERCIALIZADORA DE ALIMENTOS LA MARIA ZOMAC SAS</t>
  </si>
  <si>
    <t>COPIA DE CONTRATO No. 009-002-2021</t>
  </si>
  <si>
    <t>JUAN GUILLERMO CASTAÑO LOPEZ</t>
  </si>
  <si>
    <t>2022110110071911-</t>
  </si>
  <si>
    <t>KEVIN DANILE SANCHEZ GUTIERREZ</t>
  </si>
  <si>
    <t>2022140000069621-</t>
  </si>
  <si>
    <t>JENIFERS GARCIA GARZON</t>
  </si>
  <si>
    <t>CERTIFICADO LABORAL 128 -11  EXPEDIDO 08/11/2022</t>
  </si>
  <si>
    <t xml:space="preserve">COMERCIALIZADORA SEVERAL PARTS SAS - CINDY PAOLA VARGAS BURBANO </t>
  </si>
  <si>
    <t>COPIA - ACTAS DE CERTIFACIÓN No. (1259 - 088)</t>
  </si>
  <si>
    <t>JUAN GUILLEMOR CASTAÑO LOPEZ</t>
  </si>
  <si>
    <t>JORGE ENRIQUE ARCE QUICENO</t>
  </si>
  <si>
    <t>2022110110072241-</t>
  </si>
  <si>
    <t xml:space="preserve">CRISTIAN JOSE GUERRERO BERMEJO
PROCURADURÍA REGIONAL BOLÍVAR
</t>
  </si>
  <si>
    <t>2022140400071981-</t>
  </si>
  <si>
    <t xml:space="preserve">MAYOR DIEGO ALONSO ALZATE - BATALLÓN DE INFANTERÍA NO 3 "BATALLA DE BÁRBULA"   EJERCITO NACIONAL </t>
  </si>
  <si>
    <t>2022140010071301-</t>
  </si>
  <si>
    <t>ARMANDO PERDOMO ALVARADO</t>
  </si>
  <si>
    <t>2022120220073831-</t>
  </si>
  <si>
    <t>VIANY YESENIA FLOREZ VILLAMIZAR</t>
  </si>
  <si>
    <t>CERTIFICADO LABORAL EXPEDIDO 05/12/2022</t>
  </si>
  <si>
    <t>2022110110072651-</t>
  </si>
  <si>
    <t>NEYDER VICENCIO AMELL RODRIGUEZ</t>
  </si>
  <si>
    <t>JHON FREDY GAMEZ BARRERA - TENIENTE CORONEL YANNY ALEXANDER MELO RESTREPO - EJERCITO NACIONAL BATALLON DE INGENIEROS DE COMBATE N° 14 "BATALLA DE CALIBIO".</t>
  </si>
  <si>
    <t>2022140310070681-</t>
  </si>
  <si>
    <t>NANCY YEPES GONZALEZ</t>
  </si>
  <si>
    <t>2022110110072751-</t>
  </si>
  <si>
    <t>MARTHA CECILIA MERCADO IBARRA</t>
  </si>
  <si>
    <t>FORMATO CANCELACIÓN DE PRENDA No. 047 DE FECHA 13 DICIEMBRE 2022</t>
  </si>
  <si>
    <t xml:space="preserve">LAURA MARGARITA ANIBAL SANTANA </t>
  </si>
  <si>
    <t>202211010072771-</t>
  </si>
  <si>
    <t>JUDITH CECILIA CASTRO RINCON</t>
  </si>
  <si>
    <t>202212220072881-</t>
  </si>
  <si>
    <t>LUIS HUBERTO GARCIA</t>
  </si>
  <si>
    <t>20221101100073721-</t>
  </si>
  <si>
    <t>YAIR ORLANDO RAMIREZ MUÑOZ</t>
  </si>
  <si>
    <t>2022120220072891-</t>
  </si>
  <si>
    <t>JUVENAL OVIDIO  BRUGUES PALMERA</t>
  </si>
  <si>
    <t>2022120220072901-</t>
  </si>
  <si>
    <t>YUDDY MARCELA ROJAS REYES  - PROCURADURIA REGIONAL DE INSTRUCCION CAQUETA</t>
  </si>
  <si>
    <t>2022110100071861-</t>
  </si>
  <si>
    <t xml:space="preserve"> 10/12/2022</t>
  </si>
  <si>
    <t>CARLOS HJEMEL MORENO SARMIENTO</t>
  </si>
  <si>
    <t>2022120220064261-</t>
  </si>
  <si>
    <t xml:space="preserve"> 11/12/2022</t>
  </si>
  <si>
    <t xml:space="preserve">LUIS GERMAN GUERRERO </t>
  </si>
  <si>
    <t>2022110110074381-</t>
  </si>
  <si>
    <t xml:space="preserve"> JACKELINE HERRERA TORRES </t>
  </si>
  <si>
    <t>2022100500072741-</t>
  </si>
  <si>
    <t>LIZETH PAOLA SANBRIA NIÑO</t>
  </si>
  <si>
    <t>2022110110073961-</t>
  </si>
  <si>
    <t>OSCAR CHOCONTA PEREZ</t>
  </si>
  <si>
    <t>CERTIFICADO LABORAL EXPEDIDO 14/12/2022</t>
  </si>
  <si>
    <t>ANGELA PATRICIA GONZALEZ GOMEZ</t>
  </si>
  <si>
    <t>20221101100073811-</t>
  </si>
  <si>
    <t>MILITAR JORGE ENRIQUE HUERTAS COMBITA</t>
  </si>
  <si>
    <t>2022140000073251-</t>
  </si>
  <si>
    <t xml:space="preserve">JOSE ARBEY ARDILA </t>
  </si>
  <si>
    <t>CERTIFICADO LABORAL EXPEDIDO 23/12/2022</t>
  </si>
  <si>
    <t>FUMISEX</t>
  </si>
  <si>
    <t xml:space="preserve">CERTIFICADO DE INGRESOS Y RETENCIONES DEL 27/12/2022. </t>
  </si>
  <si>
    <t>ALVARO ALEXANDER AGUDELO HERRERA</t>
  </si>
  <si>
    <t>FORMATO Y RESPUESTAS No. 1</t>
  </si>
  <si>
    <t>MONICA MARIA GRANADA OSPINA</t>
  </si>
  <si>
    <t>CERTIFICADO LABORAL EXPEDIDO 20/12/2022</t>
  </si>
  <si>
    <t xml:space="preserve"> 16/12/2022</t>
  </si>
  <si>
    <t>JHON MAURICIO MOLINA GONZALEZ</t>
  </si>
  <si>
    <t>2022100400074601-</t>
  </si>
  <si>
    <t xml:space="preserve"> 30/12/2022</t>
  </si>
  <si>
    <t>MADELEINE MADELEINE RUEDA</t>
  </si>
  <si>
    <t>2022110110073551-</t>
  </si>
  <si>
    <t>OSCAR NEMESIO PEREZ PEÑA</t>
  </si>
  <si>
    <t>CERTIFICADO DE PAZ Y SALVO - No. 0000004742-  26/12/2022</t>
  </si>
  <si>
    <t>JENNIFER PAOLA IBARRA CORREA</t>
  </si>
  <si>
    <t>2022110110074641-</t>
  </si>
  <si>
    <t>CAROLINA GOMEZ CAMACHO</t>
  </si>
  <si>
    <t>2022110210074331-</t>
  </si>
  <si>
    <t>HUMBERTO LUIS GARCIA - COMISIÓN NACIONAL DEL SERVICIO CIVIL</t>
  </si>
  <si>
    <t>2022110110074631-</t>
  </si>
  <si>
    <t>2023110110001081-</t>
  </si>
  <si>
    <t>CARLOS HERIBERTO ORTIZ SANCHEZ</t>
  </si>
  <si>
    <t>CERTIFICADO DE PAZ Y SALVO. 21/12/2022</t>
  </si>
  <si>
    <t xml:space="preserve"> 21/12/2022</t>
  </si>
  <si>
    <t>YAMILE  BETANCOURT VEGA</t>
  </si>
  <si>
    <t>202311012000091-</t>
  </si>
  <si>
    <t>JORGE FERNANDO OCHOA FANDIÑO</t>
  </si>
  <si>
    <t>2022120220073841-</t>
  </si>
  <si>
    <t>HOLGER  YESID TORRES MOGOLLON</t>
  </si>
  <si>
    <t>FORMATO CANCELACIÓN DE PRENDA No. 048 DE FECHA 26 DICIEMBRE 2022</t>
  </si>
  <si>
    <t xml:space="preserve">ALEXANDER GONZALEZ GALINDO </t>
  </si>
  <si>
    <t xml:space="preserve"> 27/12/2022</t>
  </si>
  <si>
    <t>2022100400074411-</t>
  </si>
  <si>
    <t xml:space="preserve"> 26/12/2022</t>
  </si>
  <si>
    <t>RODRIGO HERNANDO MARTINEZ BARRIOS</t>
  </si>
  <si>
    <t>FORMULARIO DEL REGISTRO UNICO TRIBUTARIO DIAN - 14838843477</t>
  </si>
  <si>
    <t>TRAMITE DEL USUARIO</t>
  </si>
  <si>
    <t>LUIS GERMAN GUERREO</t>
  </si>
  <si>
    <t>2023110110002031-</t>
  </si>
  <si>
    <t>ELIZABETH RUANA BRAVO</t>
  </si>
  <si>
    <t>2023141100001811-</t>
  </si>
  <si>
    <t>2023110110004083-</t>
  </si>
  <si>
    <t>JULIO CESAR BONILLA RONDON</t>
  </si>
  <si>
    <t>2023110110001521-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</si>
</sst>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b/>
      <sz val="10"/>
      <color rgb="FF00000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0"/>
      <name val="Calibri"/>
      <family val="2"/>
    </font>
    <font>
      <b/>
      <sz val="11"/>
      <color rgb="FF000000"/>
      <name val="Calibri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name val="Calibri  "/>
    </font>
    <font>
      <b/>
      <sz val="11"/>
      <name val="Calibri"/>
      <family val="2"/>
      <scheme val="minor"/>
    </font>
    <font>
      <sz val="11"/>
      <name val="Calibri  "/>
    </font>
    <font>
      <b/>
      <sz val="11"/>
      <color theme="1"/>
      <name val="Calibri  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  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9E2CF"/>
        <bgColor indexed="64"/>
      </patternFill>
    </fill>
    <fill>
      <patternFill patternType="solid">
        <fgColor rgb="FFE9E2C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2" fontId="5" fillId="4" borderId="1" xfId="0" applyNumberFormat="1" applyFont="1" applyFill="1" applyBorder="1" applyAlignment="1">
      <alignment horizontal="right" vertical="center"/>
    </xf>
    <xf numFmtId="0" fontId="5" fillId="4" borderId="2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right" vertical="center"/>
    </xf>
    <xf numFmtId="0" fontId="16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7" fillId="5" borderId="2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2" fontId="1" fillId="5" borderId="1" xfId="0" applyNumberFormat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1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2" fontId="19" fillId="4" borderId="1" xfId="0" applyNumberFormat="1" applyFont="1" applyFill="1" applyBorder="1" applyAlignment="1">
      <alignment horizontal="right" vertical="center"/>
    </xf>
    <xf numFmtId="0" fontId="17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1" fontId="19" fillId="4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2" fontId="10" fillId="5" borderId="1" xfId="0" applyNumberFormat="1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center" vertical="center" wrapText="1"/>
    </xf>
    <xf numFmtId="1" fontId="10" fillId="5" borderId="1" xfId="0" applyNumberFormat="1" applyFont="1" applyFill="1" applyBorder="1" applyAlignment="1">
      <alignment horizontal="right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9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0" fillId="5" borderId="0" xfId="0" applyFill="1"/>
    <xf numFmtId="2" fontId="9" fillId="5" borderId="1" xfId="0" applyNumberFormat="1" applyFont="1" applyFill="1" applyBorder="1" applyAlignment="1">
      <alignment horizontal="right" vertical="center"/>
    </xf>
    <xf numFmtId="0" fontId="21" fillId="2" borderId="6" xfId="0" applyFont="1" applyFill="1" applyBorder="1" applyAlignment="1">
      <alignment horizontal="center" vertical="center" wrapText="1"/>
    </xf>
    <xf numFmtId="1" fontId="9" fillId="5" borderId="1" xfId="0" applyNumberFormat="1" applyFont="1" applyFill="1" applyBorder="1" applyAlignment="1">
      <alignment horizontal="right" vertical="center"/>
    </xf>
    <xf numFmtId="0" fontId="9" fillId="5" borderId="2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2" fontId="23" fillId="5" borderId="1" xfId="0" applyNumberFormat="1" applyFont="1" applyFill="1" applyBorder="1" applyAlignment="1">
      <alignment horizontal="right" vertical="center"/>
    </xf>
    <xf numFmtId="0" fontId="23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5" fillId="7" borderId="1" xfId="0" applyFont="1" applyFill="1" applyBorder="1" applyAlignment="1">
      <alignment horizontal="center" vertical="center" wrapText="1"/>
    </xf>
    <xf numFmtId="14" fontId="26" fillId="5" borderId="1" xfId="0" applyNumberFormat="1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 wrapText="1"/>
    </xf>
    <xf numFmtId="0" fontId="26" fillId="5" borderId="1" xfId="0" applyFont="1" applyFill="1" applyBorder="1" applyAlignment="1">
      <alignment horizontal="center" vertical="center"/>
    </xf>
    <xf numFmtId="49" fontId="26" fillId="5" borderId="1" xfId="0" applyNumberFormat="1" applyFont="1" applyFill="1" applyBorder="1" applyAlignment="1">
      <alignment horizontal="center" vertical="center" wrapText="1"/>
    </xf>
    <xf numFmtId="14" fontId="27" fillId="5" borderId="1" xfId="0" applyNumberFormat="1" applyFont="1" applyFill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 wrapText="1"/>
    </xf>
    <xf numFmtId="1" fontId="27" fillId="5" borderId="1" xfId="0" applyNumberFormat="1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14" fontId="24" fillId="5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9" fillId="5" borderId="1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4" fontId="24" fillId="0" borderId="1" xfId="0" applyNumberFormat="1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4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14" fontId="26" fillId="0" borderId="1" xfId="0" applyNumberFormat="1" applyFont="1" applyBorder="1" applyAlignment="1">
      <alignment horizontal="center" vertical="center"/>
    </xf>
    <xf numFmtId="14" fontId="30" fillId="0" borderId="1" xfId="0" applyNumberFormat="1" applyFont="1" applyFill="1" applyBorder="1" applyAlignment="1">
      <alignment horizontal="center" vertical="center"/>
    </xf>
    <xf numFmtId="0" fontId="24" fillId="0" borderId="1" xfId="0" applyFont="1" applyBorder="1"/>
    <xf numFmtId="0" fontId="3" fillId="2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6" borderId="12" xfId="0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1" fillId="6" borderId="7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6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 wrapText="1"/>
    </xf>
    <xf numFmtId="14" fontId="31" fillId="5" borderId="1" xfId="0" applyNumberFormat="1" applyFont="1" applyFill="1" applyBorder="1" applyAlignment="1">
      <alignment horizontal="center" vertical="center"/>
    </xf>
    <xf numFmtId="0" fontId="31" fillId="5" borderId="1" xfId="0" applyFont="1" applyFill="1" applyBorder="1" applyAlignment="1">
      <alignment horizontal="center" vertical="center" wrapText="1"/>
    </xf>
    <xf numFmtId="0" fontId="31" fillId="5" borderId="1" xfId="0" applyFont="1" applyFill="1" applyBorder="1" applyAlignment="1">
      <alignment horizontal="center" vertical="center"/>
    </xf>
    <xf numFmtId="0" fontId="32" fillId="5" borderId="1" xfId="0" applyFont="1" applyFill="1" applyBorder="1" applyAlignment="1">
      <alignment horizontal="center" vertical="center"/>
    </xf>
    <xf numFmtId="14" fontId="32" fillId="5" borderId="1" xfId="0" applyNumberFormat="1" applyFont="1" applyFill="1" applyBorder="1" applyAlignment="1">
      <alignment horizontal="center" vertical="center" wrapText="1"/>
    </xf>
    <xf numFmtId="0" fontId="32" fillId="5" borderId="1" xfId="0" applyFont="1" applyFill="1" applyBorder="1" applyAlignment="1">
      <alignment horizontal="center" vertical="center" wrapText="1"/>
    </xf>
    <xf numFmtId="0" fontId="33" fillId="0" borderId="0" xfId="0" applyFont="1"/>
    <xf numFmtId="49" fontId="31" fillId="5" borderId="1" xfId="0" applyNumberFormat="1" applyFont="1" applyFill="1" applyBorder="1" applyAlignment="1">
      <alignment horizontal="center" vertical="center" wrapText="1"/>
    </xf>
    <xf numFmtId="14" fontId="31" fillId="5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workbookViewId="0">
      <selection activeCell="F9" sqref="F9"/>
    </sheetView>
  </sheetViews>
  <sheetFormatPr baseColWidth="10" defaultRowHeight="15"/>
  <cols>
    <col min="2" max="2" width="15.7109375" customWidth="1"/>
    <col min="3" max="3" width="15.85546875" customWidth="1"/>
    <col min="8" max="8" width="15.7109375" customWidth="1"/>
  </cols>
  <sheetData>
    <row r="1" spans="2:11" ht="15.75" thickBot="1"/>
    <row r="2" spans="2:11" ht="27" thickTop="1" thickBo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35.25" thickTop="1" thickBot="1">
      <c r="B3" s="143" t="s">
        <v>10</v>
      </c>
      <c r="C3" s="3" t="s">
        <v>11</v>
      </c>
      <c r="D3" s="4">
        <v>0</v>
      </c>
      <c r="E3" s="4">
        <v>0</v>
      </c>
      <c r="F3" s="4">
        <v>0</v>
      </c>
      <c r="G3" s="4">
        <v>255</v>
      </c>
      <c r="H3" s="4">
        <v>1078</v>
      </c>
      <c r="I3" s="4">
        <v>0</v>
      </c>
      <c r="J3" s="4">
        <v>1333</v>
      </c>
      <c r="K3" s="5">
        <v>88.63</v>
      </c>
    </row>
    <row r="4" spans="2:11" ht="24" thickTop="1" thickBot="1">
      <c r="B4" s="144"/>
      <c r="C4" s="3" t="s">
        <v>12</v>
      </c>
      <c r="D4" s="4">
        <v>0</v>
      </c>
      <c r="E4" s="4">
        <v>0</v>
      </c>
      <c r="F4" s="4">
        <v>0</v>
      </c>
      <c r="G4" s="4">
        <v>22</v>
      </c>
      <c r="H4" s="4">
        <v>114</v>
      </c>
      <c r="I4" s="4">
        <v>0</v>
      </c>
      <c r="J4" s="4">
        <v>136</v>
      </c>
      <c r="K4" s="5">
        <v>9.0399999999999991</v>
      </c>
    </row>
    <row r="5" spans="2:11" ht="35.25" thickTop="1" thickBot="1">
      <c r="B5" s="6" t="s">
        <v>13</v>
      </c>
      <c r="C5" s="3" t="s">
        <v>14</v>
      </c>
      <c r="D5" s="5">
        <v>8</v>
      </c>
      <c r="E5" s="4">
        <v>0</v>
      </c>
      <c r="F5" s="4">
        <v>0</v>
      </c>
      <c r="G5" s="5">
        <v>0</v>
      </c>
      <c r="H5" s="5">
        <v>1</v>
      </c>
      <c r="I5" s="4">
        <v>0</v>
      </c>
      <c r="J5" s="4">
        <v>9</v>
      </c>
      <c r="K5" s="5">
        <v>0.6</v>
      </c>
    </row>
    <row r="6" spans="2:11" ht="57.75" thickTop="1" thickBot="1">
      <c r="B6" s="6" t="s">
        <v>15</v>
      </c>
      <c r="C6" s="3" t="s">
        <v>16</v>
      </c>
      <c r="D6" s="5">
        <v>1</v>
      </c>
      <c r="E6" s="4">
        <v>0</v>
      </c>
      <c r="F6" s="4">
        <v>0</v>
      </c>
      <c r="G6" s="5">
        <v>0</v>
      </c>
      <c r="H6" s="4">
        <v>0</v>
      </c>
      <c r="I6" s="4">
        <v>0</v>
      </c>
      <c r="J6" s="4">
        <v>1</v>
      </c>
      <c r="K6" s="5">
        <v>7.0000000000000007E-2</v>
      </c>
    </row>
    <row r="7" spans="2:11" ht="35.25" thickTop="1" thickBot="1">
      <c r="B7" s="6" t="s">
        <v>17</v>
      </c>
      <c r="C7" s="3" t="s">
        <v>18</v>
      </c>
      <c r="D7" s="5">
        <v>1</v>
      </c>
      <c r="E7" s="4">
        <v>0</v>
      </c>
      <c r="F7" s="4">
        <v>0</v>
      </c>
      <c r="G7" s="5">
        <v>0</v>
      </c>
      <c r="H7" s="4">
        <v>0</v>
      </c>
      <c r="I7" s="4">
        <v>0</v>
      </c>
      <c r="J7" s="4">
        <v>1</v>
      </c>
      <c r="K7" s="5">
        <v>7.0000000000000007E-2</v>
      </c>
    </row>
    <row r="8" spans="2:11" ht="16.5" thickTop="1" thickBot="1">
      <c r="B8" s="143" t="s">
        <v>19</v>
      </c>
      <c r="C8" s="3" t="s">
        <v>20</v>
      </c>
      <c r="D8" s="5">
        <v>3</v>
      </c>
      <c r="E8" s="5">
        <v>1</v>
      </c>
      <c r="F8" s="5">
        <v>2</v>
      </c>
      <c r="G8" s="5">
        <v>0</v>
      </c>
      <c r="H8" s="4">
        <v>0</v>
      </c>
      <c r="I8" s="4">
        <v>0</v>
      </c>
      <c r="J8" s="4">
        <v>6</v>
      </c>
      <c r="K8" s="5">
        <v>0.4</v>
      </c>
    </row>
    <row r="9" spans="2:11" ht="16.5" thickTop="1" thickBot="1">
      <c r="B9" s="144"/>
      <c r="C9" s="3" t="s">
        <v>21</v>
      </c>
      <c r="D9" s="5">
        <v>0</v>
      </c>
      <c r="E9" s="5">
        <v>0</v>
      </c>
      <c r="F9" s="5">
        <v>0</v>
      </c>
      <c r="G9" s="5">
        <v>0</v>
      </c>
      <c r="H9" s="5">
        <v>1</v>
      </c>
      <c r="I9" s="4">
        <v>0</v>
      </c>
      <c r="J9" s="4">
        <v>1</v>
      </c>
      <c r="K9" s="5">
        <v>7.0000000000000007E-2</v>
      </c>
    </row>
    <row r="10" spans="2:11" ht="16.5" thickTop="1" thickBot="1">
      <c r="B10" s="6" t="s">
        <v>22</v>
      </c>
      <c r="C10" s="3" t="s">
        <v>23</v>
      </c>
      <c r="D10" s="5">
        <v>1</v>
      </c>
      <c r="E10" s="5">
        <v>0</v>
      </c>
      <c r="F10" s="5">
        <v>0</v>
      </c>
      <c r="G10" s="5">
        <v>0</v>
      </c>
      <c r="H10" s="5">
        <v>0</v>
      </c>
      <c r="I10" s="4">
        <v>0</v>
      </c>
      <c r="J10" s="4">
        <v>1</v>
      </c>
      <c r="K10" s="5">
        <v>7.0000000000000007E-2</v>
      </c>
    </row>
    <row r="11" spans="2:11" ht="35.25" thickTop="1" thickBot="1">
      <c r="B11" s="6" t="s">
        <v>24</v>
      </c>
      <c r="C11" s="3" t="s">
        <v>25</v>
      </c>
      <c r="D11" s="5">
        <v>0</v>
      </c>
      <c r="E11" s="5">
        <v>0</v>
      </c>
      <c r="F11" s="5">
        <v>0</v>
      </c>
      <c r="G11" s="5">
        <v>0</v>
      </c>
      <c r="H11" s="5">
        <v>1</v>
      </c>
      <c r="I11" s="4">
        <v>0</v>
      </c>
      <c r="J11" s="4">
        <v>1</v>
      </c>
      <c r="K11" s="5">
        <v>7.0000000000000007E-2</v>
      </c>
    </row>
    <row r="12" spans="2:11" ht="24" thickTop="1" thickBot="1">
      <c r="B12" s="143" t="s">
        <v>26</v>
      </c>
      <c r="C12" s="3" t="s">
        <v>27</v>
      </c>
      <c r="D12" s="5">
        <v>0</v>
      </c>
      <c r="E12" s="5">
        <v>1</v>
      </c>
      <c r="F12" s="5">
        <v>0</v>
      </c>
      <c r="G12" s="5">
        <v>0</v>
      </c>
      <c r="H12" s="5">
        <v>0</v>
      </c>
      <c r="I12" s="4">
        <v>0</v>
      </c>
      <c r="J12" s="4">
        <v>1</v>
      </c>
      <c r="K12" s="5">
        <v>7.0000000000000007E-2</v>
      </c>
    </row>
    <row r="13" spans="2:11" ht="16.5" thickTop="1" thickBot="1">
      <c r="B13" s="144"/>
      <c r="C13" s="3" t="s">
        <v>28</v>
      </c>
      <c r="D13" s="5">
        <v>9</v>
      </c>
      <c r="E13" s="4">
        <v>0</v>
      </c>
      <c r="F13" s="4">
        <v>3</v>
      </c>
      <c r="G13" s="5">
        <v>0</v>
      </c>
      <c r="H13" s="5">
        <v>0</v>
      </c>
      <c r="I13" s="4">
        <v>0</v>
      </c>
      <c r="J13" s="4">
        <v>12</v>
      </c>
      <c r="K13" s="5">
        <v>0.8</v>
      </c>
    </row>
    <row r="14" spans="2:11" ht="35.25" thickTop="1" thickBot="1">
      <c r="B14" s="6" t="s">
        <v>29</v>
      </c>
      <c r="C14" s="3" t="s">
        <v>30</v>
      </c>
      <c r="D14" s="5">
        <v>0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4">
        <v>1</v>
      </c>
      <c r="K14" s="5">
        <v>7.0000000000000007E-2</v>
      </c>
    </row>
    <row r="15" spans="2:11" ht="35.25" thickTop="1" thickBot="1">
      <c r="B15" s="6" t="s">
        <v>31</v>
      </c>
      <c r="C15" s="3" t="s">
        <v>32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4">
        <v>1</v>
      </c>
      <c r="K15" s="5">
        <v>7.0000000000000007E-2</v>
      </c>
    </row>
    <row r="16" spans="2:11" ht="16.5" thickTop="1" thickBot="1">
      <c r="B16" s="145" t="s">
        <v>33</v>
      </c>
      <c r="C16" s="146"/>
      <c r="D16" s="5">
        <v>24</v>
      </c>
      <c r="E16" s="5">
        <v>2</v>
      </c>
      <c r="F16" s="5">
        <v>5</v>
      </c>
      <c r="G16" s="5">
        <v>277</v>
      </c>
      <c r="H16" s="5">
        <v>1195</v>
      </c>
      <c r="I16" s="5">
        <v>1</v>
      </c>
      <c r="J16" s="5">
        <v>1504</v>
      </c>
      <c r="K16" s="5">
        <v>100</v>
      </c>
    </row>
    <row r="17" ht="15.75" thickTop="1"/>
  </sheetData>
  <mergeCells count="4">
    <mergeCell ref="B3:B4"/>
    <mergeCell ref="B8:B9"/>
    <mergeCell ref="B12:B13"/>
    <mergeCell ref="B16:C1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5"/>
  <sheetViews>
    <sheetView workbookViewId="0">
      <selection activeCell="L9" sqref="L9"/>
    </sheetView>
  </sheetViews>
  <sheetFormatPr baseColWidth="10" defaultRowHeight="15"/>
  <cols>
    <col min="1" max="1" width="17" customWidth="1"/>
    <col min="2" max="2" width="20.7109375" customWidth="1"/>
    <col min="7" max="7" width="13.7109375" customWidth="1"/>
    <col min="10" max="10" width="6" customWidth="1"/>
  </cols>
  <sheetData>
    <row r="3" spans="1:10" ht="15.75" thickBot="1"/>
    <row r="4" spans="1:10" ht="27" thickTop="1" thickBot="1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48.75" customHeight="1" thickTop="1" thickBot="1">
      <c r="A5" s="159" t="s">
        <v>10</v>
      </c>
      <c r="B5" s="64" t="s">
        <v>11</v>
      </c>
      <c r="C5" s="34">
        <v>0</v>
      </c>
      <c r="D5" s="35">
        <v>0</v>
      </c>
      <c r="E5" s="35">
        <v>0</v>
      </c>
      <c r="F5" s="35">
        <v>253</v>
      </c>
      <c r="G5" s="35">
        <v>2324</v>
      </c>
      <c r="H5" s="35">
        <v>0</v>
      </c>
      <c r="I5" s="35">
        <f t="shared" ref="I5:I13" si="0">SUM(C5:H5)</f>
        <v>2577</v>
      </c>
      <c r="J5" s="66">
        <f t="shared" ref="J5:J13" si="1">I5/2819*100</f>
        <v>91.415395530329903</v>
      </c>
    </row>
    <row r="6" spans="1:10" ht="25.5" thickTop="1" thickBot="1">
      <c r="A6" s="160"/>
      <c r="B6" s="64" t="s">
        <v>12</v>
      </c>
      <c r="C6" s="34">
        <v>0</v>
      </c>
      <c r="D6" s="35">
        <v>0</v>
      </c>
      <c r="E6" s="35">
        <v>0</v>
      </c>
      <c r="F6" s="35">
        <v>22</v>
      </c>
      <c r="G6" s="35">
        <v>175</v>
      </c>
      <c r="H6" s="35">
        <v>0</v>
      </c>
      <c r="I6" s="35">
        <f t="shared" si="0"/>
        <v>197</v>
      </c>
      <c r="J6" s="66">
        <f t="shared" si="1"/>
        <v>6.9882937211777225</v>
      </c>
    </row>
    <row r="7" spans="1:10" ht="36.75" customHeight="1" thickTop="1" thickBot="1">
      <c r="A7" s="65" t="s">
        <v>13</v>
      </c>
      <c r="B7" s="64" t="s">
        <v>14</v>
      </c>
      <c r="C7" s="40">
        <f>2+2+1+5+2</f>
        <v>12</v>
      </c>
      <c r="D7" s="38">
        <v>0</v>
      </c>
      <c r="E7" s="38">
        <v>0</v>
      </c>
      <c r="F7" s="38">
        <v>0</v>
      </c>
      <c r="G7" s="38">
        <v>0</v>
      </c>
      <c r="H7" s="38">
        <v>1</v>
      </c>
      <c r="I7" s="38">
        <f t="shared" si="0"/>
        <v>13</v>
      </c>
      <c r="J7" s="66">
        <f t="shared" si="1"/>
        <v>0.46115643845335225</v>
      </c>
    </row>
    <row r="8" spans="1:10" ht="16.5" thickTop="1" thickBot="1">
      <c r="A8" s="159" t="s">
        <v>19</v>
      </c>
      <c r="B8" s="43" t="s">
        <v>20</v>
      </c>
      <c r="C8" s="40">
        <v>7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f t="shared" si="0"/>
        <v>7</v>
      </c>
      <c r="J8" s="66">
        <f t="shared" si="1"/>
        <v>0.24831500532103584</v>
      </c>
    </row>
    <row r="9" spans="1:10" ht="16.5" thickTop="1" thickBot="1">
      <c r="A9" s="160"/>
      <c r="B9" s="43" t="s">
        <v>21</v>
      </c>
      <c r="C9" s="34">
        <f>6+4</f>
        <v>10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10</v>
      </c>
      <c r="J9" s="66">
        <f t="shared" si="1"/>
        <v>0.35473572188719404</v>
      </c>
    </row>
    <row r="10" spans="1:10" ht="16.5" thickTop="1" thickBot="1">
      <c r="A10" s="65" t="s">
        <v>22</v>
      </c>
      <c r="B10" s="43" t="s">
        <v>23</v>
      </c>
      <c r="C10" s="40">
        <v>2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f t="shared" si="0"/>
        <v>2</v>
      </c>
      <c r="J10" s="66">
        <f t="shared" si="1"/>
        <v>7.0947144377438806E-2</v>
      </c>
    </row>
    <row r="11" spans="1:10" ht="16.5" thickTop="1" thickBot="1">
      <c r="A11" s="159" t="s">
        <v>26</v>
      </c>
      <c r="B11" s="43" t="s">
        <v>28</v>
      </c>
      <c r="C11" s="34">
        <f>5+2</f>
        <v>7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8</v>
      </c>
      <c r="J11" s="66">
        <f t="shared" si="1"/>
        <v>0.28378857750975522</v>
      </c>
    </row>
    <row r="12" spans="1:10" ht="25.5" thickTop="1" thickBot="1">
      <c r="A12" s="165"/>
      <c r="B12" s="67" t="s">
        <v>27</v>
      </c>
      <c r="C12" s="40">
        <v>0</v>
      </c>
      <c r="D12" s="38">
        <v>0</v>
      </c>
      <c r="E12" s="38">
        <v>0</v>
      </c>
      <c r="F12" s="38">
        <v>1</v>
      </c>
      <c r="G12" s="38">
        <v>2</v>
      </c>
      <c r="H12" s="38">
        <v>0</v>
      </c>
      <c r="I12" s="38">
        <f t="shared" si="0"/>
        <v>3</v>
      </c>
      <c r="J12" s="66">
        <f t="shared" si="1"/>
        <v>0.1064207165661582</v>
      </c>
    </row>
    <row r="13" spans="1:10" ht="49.5" customHeight="1" thickTop="1" thickBot="1">
      <c r="A13" s="43" t="s">
        <v>31</v>
      </c>
      <c r="B13" s="43" t="s">
        <v>32</v>
      </c>
      <c r="C13" s="40">
        <v>2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f t="shared" si="0"/>
        <v>2</v>
      </c>
      <c r="J13" s="66">
        <f t="shared" si="1"/>
        <v>7.0947144377438806E-2</v>
      </c>
    </row>
    <row r="14" spans="1:10" ht="16.5" thickTop="1" thickBot="1">
      <c r="A14" s="161" t="s">
        <v>38</v>
      </c>
      <c r="B14" s="161"/>
      <c r="C14" s="38">
        <f t="shared" ref="C14:H14" si="2">SUM(C5:C13)</f>
        <v>40</v>
      </c>
      <c r="D14" s="38">
        <f t="shared" si="2"/>
        <v>0</v>
      </c>
      <c r="E14" s="38">
        <f t="shared" si="2"/>
        <v>1</v>
      </c>
      <c r="F14" s="38">
        <f t="shared" si="2"/>
        <v>276</v>
      </c>
      <c r="G14" s="38">
        <f t="shared" si="2"/>
        <v>2501</v>
      </c>
      <c r="H14" s="38">
        <f t="shared" si="2"/>
        <v>1</v>
      </c>
      <c r="I14" s="38">
        <f>SUM(C5:H13)</f>
        <v>2819</v>
      </c>
      <c r="J14" s="68">
        <f>I14/2819*100</f>
        <v>100</v>
      </c>
    </row>
    <row r="15" spans="1:10" ht="15.75" thickTop="1"/>
  </sheetData>
  <mergeCells count="4">
    <mergeCell ref="A5:A6"/>
    <mergeCell ref="A8:A9"/>
    <mergeCell ref="A11:A12"/>
    <mergeCell ref="A14:B1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7"/>
  <sheetViews>
    <sheetView showGridLines="0" workbookViewId="0">
      <selection activeCell="B17" sqref="B17:C17"/>
    </sheetView>
  </sheetViews>
  <sheetFormatPr baseColWidth="10" defaultRowHeight="15"/>
  <cols>
    <col min="2" max="2" width="18.7109375" customWidth="1"/>
    <col min="3" max="3" width="20.7109375" customWidth="1"/>
    <col min="8" max="8" width="16" customWidth="1"/>
    <col min="11" max="11" width="7.85546875" customWidth="1"/>
  </cols>
  <sheetData>
    <row r="1" spans="2:11" ht="15.75" thickBot="1"/>
    <row r="2" spans="2:11" ht="39.75" customHeight="1" thickTop="1" thickBot="1">
      <c r="B2" s="166" t="s">
        <v>54</v>
      </c>
      <c r="C2" s="167"/>
      <c r="D2" s="167"/>
      <c r="E2" s="167"/>
      <c r="F2" s="167"/>
      <c r="G2" s="167"/>
      <c r="H2" s="167"/>
      <c r="I2" s="167"/>
      <c r="J2" s="167"/>
      <c r="K2" s="168"/>
    </row>
    <row r="3" spans="2:11" ht="27" thickTop="1" thickBot="1">
      <c r="B3" s="78" t="s">
        <v>0</v>
      </c>
      <c r="C3" s="78" t="s">
        <v>1</v>
      </c>
      <c r="D3" s="78" t="s">
        <v>2</v>
      </c>
      <c r="E3" s="78" t="s">
        <v>3</v>
      </c>
      <c r="F3" s="78" t="s">
        <v>4</v>
      </c>
      <c r="G3" s="78" t="s">
        <v>5</v>
      </c>
      <c r="H3" s="78" t="s">
        <v>6</v>
      </c>
      <c r="I3" s="78" t="s">
        <v>7</v>
      </c>
      <c r="J3" s="78" t="s">
        <v>8</v>
      </c>
      <c r="K3" s="78" t="s">
        <v>9</v>
      </c>
    </row>
    <row r="4" spans="2:11" ht="47.25" customHeight="1" thickTop="1" thickBot="1">
      <c r="B4" s="159" t="s">
        <v>10</v>
      </c>
      <c r="C4" s="73" t="s">
        <v>11</v>
      </c>
      <c r="D4" s="34">
        <v>0</v>
      </c>
      <c r="E4" s="34">
        <v>0</v>
      </c>
      <c r="F4" s="34">
        <v>0</v>
      </c>
      <c r="G4" s="35">
        <v>207</v>
      </c>
      <c r="H4" s="35">
        <v>2541</v>
      </c>
      <c r="I4" s="35">
        <v>0</v>
      </c>
      <c r="J4" s="35">
        <f t="shared" ref="J4:J13" si="0">SUM(D4:I4)</f>
        <v>2748</v>
      </c>
      <c r="K4" s="66">
        <f t="shared" ref="K4:K13" si="1">J4/2968*100</f>
        <v>92.587601078167111</v>
      </c>
    </row>
    <row r="5" spans="2:11" ht="25.5" thickTop="1" thickBot="1">
      <c r="B5" s="160"/>
      <c r="C5" s="73" t="s">
        <v>12</v>
      </c>
      <c r="D5" s="34">
        <v>0</v>
      </c>
      <c r="E5" s="34">
        <v>0</v>
      </c>
      <c r="F5" s="34">
        <v>0</v>
      </c>
      <c r="G5" s="35">
        <v>30</v>
      </c>
      <c r="H5" s="35">
        <v>146</v>
      </c>
      <c r="I5" s="35">
        <v>0</v>
      </c>
      <c r="J5" s="35">
        <f t="shared" si="0"/>
        <v>176</v>
      </c>
      <c r="K5" s="66">
        <f t="shared" si="1"/>
        <v>5.9299191374663076</v>
      </c>
    </row>
    <row r="6" spans="2:11" ht="25.5" thickTop="1" thickBot="1">
      <c r="B6" s="159" t="s">
        <v>13</v>
      </c>
      <c r="C6" s="43" t="s">
        <v>36</v>
      </c>
      <c r="D6" s="34">
        <v>1</v>
      </c>
      <c r="E6" s="34">
        <v>0</v>
      </c>
      <c r="F6" s="34">
        <v>0</v>
      </c>
      <c r="G6" s="34">
        <v>0</v>
      </c>
      <c r="H6" s="34">
        <v>0</v>
      </c>
      <c r="I6" s="35">
        <v>0</v>
      </c>
      <c r="J6" s="35">
        <f t="shared" si="0"/>
        <v>1</v>
      </c>
      <c r="K6" s="66">
        <f t="shared" si="1"/>
        <v>3.3692722371967659E-2</v>
      </c>
    </row>
    <row r="7" spans="2:11" ht="25.5" thickTop="1" thickBot="1">
      <c r="B7" s="160"/>
      <c r="C7" s="43" t="s">
        <v>52</v>
      </c>
      <c r="D7" s="40">
        <f>1+6</f>
        <v>7</v>
      </c>
      <c r="E7" s="38">
        <v>1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9</v>
      </c>
      <c r="K7" s="66">
        <f t="shared" si="1"/>
        <v>0.30323450134770891</v>
      </c>
    </row>
    <row r="8" spans="2:11" ht="49.5" thickTop="1" thickBot="1">
      <c r="B8" s="74" t="s">
        <v>53</v>
      </c>
      <c r="C8" s="73" t="s">
        <v>16</v>
      </c>
      <c r="D8" s="40">
        <v>1</v>
      </c>
      <c r="E8" s="34">
        <v>0</v>
      </c>
      <c r="F8" s="34">
        <v>0</v>
      </c>
      <c r="G8" s="34">
        <v>0</v>
      </c>
      <c r="H8" s="34">
        <v>0</v>
      </c>
      <c r="I8" s="38">
        <v>0</v>
      </c>
      <c r="J8" s="35">
        <f t="shared" si="0"/>
        <v>1</v>
      </c>
      <c r="K8" s="66">
        <f t="shared" si="1"/>
        <v>3.3692722371967659E-2</v>
      </c>
    </row>
    <row r="9" spans="2:11" ht="25.5" thickTop="1" thickBot="1">
      <c r="B9" s="74" t="s">
        <v>17</v>
      </c>
      <c r="C9" s="73" t="s">
        <v>18</v>
      </c>
      <c r="D9" s="34">
        <v>1</v>
      </c>
      <c r="E9" s="34">
        <v>0</v>
      </c>
      <c r="F9" s="34">
        <v>0</v>
      </c>
      <c r="G9" s="34">
        <v>0</v>
      </c>
      <c r="H9" s="35">
        <v>1</v>
      </c>
      <c r="I9" s="38">
        <v>0</v>
      </c>
      <c r="J9" s="35">
        <f t="shared" si="0"/>
        <v>2</v>
      </c>
      <c r="K9" s="66">
        <f t="shared" si="1"/>
        <v>6.7385444743935319E-2</v>
      </c>
    </row>
    <row r="10" spans="2:11" ht="16.5" thickTop="1" thickBot="1">
      <c r="B10" s="159" t="s">
        <v>19</v>
      </c>
      <c r="C10" s="43" t="s">
        <v>20</v>
      </c>
      <c r="D10" s="40">
        <v>9</v>
      </c>
      <c r="E10" s="34">
        <v>0</v>
      </c>
      <c r="F10" s="34">
        <v>0</v>
      </c>
      <c r="G10" s="34">
        <v>0</v>
      </c>
      <c r="H10" s="38">
        <v>0</v>
      </c>
      <c r="I10" s="38">
        <v>0</v>
      </c>
      <c r="J10" s="38">
        <f t="shared" si="0"/>
        <v>9</v>
      </c>
      <c r="K10" s="66">
        <f t="shared" si="1"/>
        <v>0.30323450134770891</v>
      </c>
    </row>
    <row r="11" spans="2:11" ht="16.5" thickTop="1" thickBot="1">
      <c r="B11" s="160"/>
      <c r="C11" s="43" t="s">
        <v>21</v>
      </c>
      <c r="D11" s="34">
        <f>6+3</f>
        <v>9</v>
      </c>
      <c r="E11" s="34">
        <v>0</v>
      </c>
      <c r="F11" s="34">
        <v>0</v>
      </c>
      <c r="G11" s="34">
        <v>0</v>
      </c>
      <c r="H11" s="35">
        <v>0</v>
      </c>
      <c r="I11" s="38">
        <v>0</v>
      </c>
      <c r="J11" s="38">
        <f t="shared" si="0"/>
        <v>9</v>
      </c>
      <c r="K11" s="66">
        <f t="shared" si="1"/>
        <v>0.30323450134770891</v>
      </c>
    </row>
    <row r="12" spans="2:11" ht="16.5" thickTop="1" thickBot="1">
      <c r="B12" s="74" t="s">
        <v>22</v>
      </c>
      <c r="C12" s="43" t="s">
        <v>23</v>
      </c>
      <c r="D12" s="40">
        <v>1</v>
      </c>
      <c r="E12" s="34">
        <v>0</v>
      </c>
      <c r="F12" s="34">
        <v>0</v>
      </c>
      <c r="G12" s="34">
        <v>0</v>
      </c>
      <c r="H12" s="38">
        <v>0</v>
      </c>
      <c r="I12" s="38">
        <v>0</v>
      </c>
      <c r="J12" s="38">
        <f t="shared" si="0"/>
        <v>1</v>
      </c>
      <c r="K12" s="66">
        <f t="shared" si="1"/>
        <v>3.3692722371967659E-2</v>
      </c>
    </row>
    <row r="13" spans="2:11" ht="37.5" thickTop="1" thickBot="1">
      <c r="B13" s="74" t="s">
        <v>26</v>
      </c>
      <c r="C13" s="43" t="s">
        <v>28</v>
      </c>
      <c r="D13" s="34">
        <f>9+1</f>
        <v>10</v>
      </c>
      <c r="E13" s="38">
        <v>1</v>
      </c>
      <c r="F13" s="34">
        <v>0</v>
      </c>
      <c r="G13" s="38">
        <v>1</v>
      </c>
      <c r="H13" s="38">
        <v>0</v>
      </c>
      <c r="I13" s="38">
        <v>0</v>
      </c>
      <c r="J13" s="38">
        <f t="shared" si="0"/>
        <v>12</v>
      </c>
      <c r="K13" s="66">
        <f t="shared" si="1"/>
        <v>0.40431266846361186</v>
      </c>
    </row>
    <row r="14" spans="2:11" ht="16.5" thickTop="1" thickBot="1">
      <c r="B14" s="161" t="s">
        <v>38</v>
      </c>
      <c r="C14" s="161"/>
      <c r="D14" s="38">
        <f t="shared" ref="D14:I14" si="2">SUM(D4:D13)</f>
        <v>39</v>
      </c>
      <c r="E14" s="38">
        <f t="shared" si="2"/>
        <v>2</v>
      </c>
      <c r="F14" s="38">
        <f t="shared" si="2"/>
        <v>0</v>
      </c>
      <c r="G14" s="38">
        <f t="shared" si="2"/>
        <v>238</v>
      </c>
      <c r="H14" s="38">
        <f t="shared" si="2"/>
        <v>2688</v>
      </c>
      <c r="I14" s="38">
        <f t="shared" si="2"/>
        <v>1</v>
      </c>
      <c r="J14" s="38">
        <f>SUM(D4:I13)</f>
        <v>2968</v>
      </c>
      <c r="K14" s="68">
        <f>J14/2968*100</f>
        <v>100</v>
      </c>
    </row>
    <row r="15" spans="2:11" ht="15.75" thickTop="1"/>
    <row r="17" spans="2:3">
      <c r="B17" s="77" t="s">
        <v>55</v>
      </c>
      <c r="C17" s="77" t="s">
        <v>56</v>
      </c>
    </row>
  </sheetData>
  <mergeCells count="5">
    <mergeCell ref="B4:B5"/>
    <mergeCell ref="B6:B7"/>
    <mergeCell ref="B10:B11"/>
    <mergeCell ref="B14:C14"/>
    <mergeCell ref="B2:K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K20"/>
  <sheetViews>
    <sheetView workbookViewId="0">
      <selection activeCell="C22" sqref="C22"/>
    </sheetView>
  </sheetViews>
  <sheetFormatPr baseColWidth="10" defaultRowHeight="15"/>
  <cols>
    <col min="2" max="2" width="31.42578125" customWidth="1"/>
    <col min="3" max="3" width="28.7109375" customWidth="1"/>
    <col min="8" max="8" width="14.42578125" customWidth="1"/>
  </cols>
  <sheetData>
    <row r="4" spans="2:11" ht="15.75" thickBot="1"/>
    <row r="5" spans="2:11" ht="27" thickTop="1" thickBot="1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16.5" thickTop="1" thickBot="1">
      <c r="B6" s="75" t="s">
        <v>34</v>
      </c>
      <c r="C6" s="75" t="s">
        <v>35</v>
      </c>
      <c r="D6" s="82">
        <v>0</v>
      </c>
      <c r="E6" s="82">
        <v>0</v>
      </c>
      <c r="F6" s="82">
        <v>0</v>
      </c>
      <c r="G6" s="82">
        <v>0</v>
      </c>
      <c r="H6" s="38">
        <v>1</v>
      </c>
      <c r="I6" s="82">
        <v>0</v>
      </c>
      <c r="J6" s="35">
        <f t="shared" ref="J6:J18" si="0">SUM(D6:I6)</f>
        <v>1</v>
      </c>
      <c r="K6" s="66">
        <f t="shared" ref="K6:K18" si="1">J6/2509*100</f>
        <v>3.9856516540454363E-2</v>
      </c>
    </row>
    <row r="7" spans="2:11" ht="16.5" thickTop="1" thickBot="1">
      <c r="B7" s="159" t="s">
        <v>10</v>
      </c>
      <c r="C7" s="43" t="s">
        <v>35</v>
      </c>
      <c r="D7" s="82">
        <v>0</v>
      </c>
      <c r="E7" s="82">
        <v>2</v>
      </c>
      <c r="F7" s="82">
        <v>0</v>
      </c>
      <c r="G7" s="82">
        <v>0</v>
      </c>
      <c r="H7" s="38">
        <v>0</v>
      </c>
      <c r="I7" s="82">
        <v>0</v>
      </c>
      <c r="J7" s="35">
        <f t="shared" si="0"/>
        <v>2</v>
      </c>
      <c r="K7" s="66">
        <f t="shared" si="1"/>
        <v>7.9713033080908727E-2</v>
      </c>
    </row>
    <row r="8" spans="2:11" ht="25.5" thickTop="1" thickBot="1">
      <c r="B8" s="165"/>
      <c r="C8" s="75" t="s">
        <v>11</v>
      </c>
      <c r="D8" s="82">
        <v>0</v>
      </c>
      <c r="E8" s="82">
        <v>0</v>
      </c>
      <c r="F8" s="35">
        <v>1</v>
      </c>
      <c r="G8" s="35">
        <v>155</v>
      </c>
      <c r="H8" s="35">
        <v>2117</v>
      </c>
      <c r="I8" s="35">
        <v>0</v>
      </c>
      <c r="J8" s="35">
        <f t="shared" si="0"/>
        <v>2273</v>
      </c>
      <c r="K8" s="66">
        <f t="shared" si="1"/>
        <v>90.593862096452767</v>
      </c>
    </row>
    <row r="9" spans="2:11" ht="16.5" thickTop="1" thickBot="1">
      <c r="B9" s="160"/>
      <c r="C9" s="75" t="s">
        <v>12</v>
      </c>
      <c r="D9" s="82">
        <v>0</v>
      </c>
      <c r="E9" s="82">
        <v>0</v>
      </c>
      <c r="F9" s="35">
        <v>0</v>
      </c>
      <c r="G9" s="35">
        <v>22</v>
      </c>
      <c r="H9" s="35">
        <v>153</v>
      </c>
      <c r="I9" s="35">
        <v>0</v>
      </c>
      <c r="J9" s="35">
        <f t="shared" si="0"/>
        <v>175</v>
      </c>
      <c r="K9" s="66">
        <f t="shared" si="1"/>
        <v>6.9748903945795142</v>
      </c>
    </row>
    <row r="10" spans="2:11" ht="25.5" thickTop="1" thickBot="1">
      <c r="B10" s="81" t="s">
        <v>13</v>
      </c>
      <c r="C10" s="43" t="s">
        <v>36</v>
      </c>
      <c r="D10" s="40">
        <f>1+1+1+3</f>
        <v>6</v>
      </c>
      <c r="E10" s="82">
        <v>0</v>
      </c>
      <c r="F10" s="82">
        <v>0</v>
      </c>
      <c r="G10" s="82">
        <v>0</v>
      </c>
      <c r="H10" s="82">
        <v>0</v>
      </c>
      <c r="I10" s="38">
        <v>1</v>
      </c>
      <c r="J10" s="35">
        <f t="shared" si="0"/>
        <v>7</v>
      </c>
      <c r="K10" s="66">
        <f t="shared" si="1"/>
        <v>0.27899561578318055</v>
      </c>
    </row>
    <row r="11" spans="2:11" ht="75" customHeight="1" thickTop="1" thickBot="1">
      <c r="B11" s="76" t="s">
        <v>53</v>
      </c>
      <c r="C11" s="75" t="s">
        <v>16</v>
      </c>
      <c r="D11" s="40">
        <v>2</v>
      </c>
      <c r="E11" s="38">
        <v>1</v>
      </c>
      <c r="F11" s="35">
        <v>0</v>
      </c>
      <c r="G11" s="35">
        <v>0</v>
      </c>
      <c r="H11" s="35">
        <v>0</v>
      </c>
      <c r="I11" s="35">
        <v>0</v>
      </c>
      <c r="J11" s="35">
        <f t="shared" si="0"/>
        <v>3</v>
      </c>
      <c r="K11" s="66">
        <f t="shared" si="1"/>
        <v>0.11956954962136308</v>
      </c>
    </row>
    <row r="12" spans="2:11" ht="25.5" thickTop="1" thickBot="1">
      <c r="B12" s="76" t="s">
        <v>17</v>
      </c>
      <c r="C12" s="75" t="s">
        <v>18</v>
      </c>
      <c r="D12" s="34">
        <v>0</v>
      </c>
      <c r="E12" s="35">
        <v>0</v>
      </c>
      <c r="F12" s="35">
        <v>0</v>
      </c>
      <c r="G12" s="35">
        <v>0</v>
      </c>
      <c r="H12" s="35">
        <v>2</v>
      </c>
      <c r="I12" s="35">
        <v>0</v>
      </c>
      <c r="J12" s="35">
        <f t="shared" si="0"/>
        <v>2</v>
      </c>
      <c r="K12" s="66">
        <f t="shared" si="1"/>
        <v>7.9713033080908727E-2</v>
      </c>
    </row>
    <row r="13" spans="2:11" ht="16.5" thickTop="1" thickBot="1">
      <c r="B13" s="159" t="s">
        <v>19</v>
      </c>
      <c r="C13" s="43" t="s">
        <v>20</v>
      </c>
      <c r="D13" s="40">
        <v>15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8">
        <f t="shared" si="0"/>
        <v>15</v>
      </c>
      <c r="K13" s="66">
        <f t="shared" si="1"/>
        <v>0.5978477481068154</v>
      </c>
    </row>
    <row r="14" spans="2:11" ht="16.5" thickTop="1" thickBot="1">
      <c r="B14" s="160"/>
      <c r="C14" s="43" t="s">
        <v>21</v>
      </c>
      <c r="D14" s="34">
        <f>12+2+1+1+1</f>
        <v>17</v>
      </c>
      <c r="E14" s="35">
        <v>0</v>
      </c>
      <c r="F14" s="35">
        <v>0</v>
      </c>
      <c r="G14" s="35">
        <v>0</v>
      </c>
      <c r="H14" s="35">
        <v>0</v>
      </c>
      <c r="I14" s="35">
        <v>0</v>
      </c>
      <c r="J14" s="38">
        <f t="shared" si="0"/>
        <v>17</v>
      </c>
      <c r="K14" s="66">
        <f t="shared" si="1"/>
        <v>0.67756078118772423</v>
      </c>
    </row>
    <row r="15" spans="2:11" ht="16.5" thickTop="1" thickBot="1">
      <c r="B15" s="76" t="s">
        <v>22</v>
      </c>
      <c r="C15" s="43" t="s">
        <v>23</v>
      </c>
      <c r="D15" s="40">
        <v>1</v>
      </c>
      <c r="E15" s="35">
        <v>0</v>
      </c>
      <c r="F15" s="35">
        <v>0</v>
      </c>
      <c r="G15" s="35">
        <v>0</v>
      </c>
      <c r="H15" s="35">
        <v>0</v>
      </c>
      <c r="I15" s="35">
        <v>0</v>
      </c>
      <c r="J15" s="38">
        <f t="shared" si="0"/>
        <v>1</v>
      </c>
      <c r="K15" s="66">
        <f t="shared" si="1"/>
        <v>3.9856516540454363E-2</v>
      </c>
    </row>
    <row r="16" spans="2:11" ht="16.5" thickTop="1" thickBot="1">
      <c r="B16" s="159" t="s">
        <v>26</v>
      </c>
      <c r="C16" s="43" t="s">
        <v>27</v>
      </c>
      <c r="D16" s="34">
        <v>0</v>
      </c>
      <c r="E16" s="35">
        <v>0</v>
      </c>
      <c r="F16" s="35">
        <v>0</v>
      </c>
      <c r="G16" s="35">
        <v>0</v>
      </c>
      <c r="H16" s="38">
        <v>1</v>
      </c>
      <c r="I16" s="38">
        <v>0</v>
      </c>
      <c r="J16" s="38">
        <f t="shared" si="0"/>
        <v>1</v>
      </c>
      <c r="K16" s="66">
        <f t="shared" si="1"/>
        <v>3.9856516540454363E-2</v>
      </c>
    </row>
    <row r="17" spans="2:11" ht="16.5" thickTop="1" thickBot="1">
      <c r="B17" s="160"/>
      <c r="C17" s="43" t="s">
        <v>28</v>
      </c>
      <c r="D17" s="34">
        <v>10</v>
      </c>
      <c r="E17" s="38">
        <v>1</v>
      </c>
      <c r="F17" s="35">
        <v>0</v>
      </c>
      <c r="G17" s="35">
        <v>0</v>
      </c>
      <c r="H17" s="35">
        <v>0</v>
      </c>
      <c r="I17" s="35">
        <v>0</v>
      </c>
      <c r="J17" s="38">
        <f t="shared" si="0"/>
        <v>11</v>
      </c>
      <c r="K17" s="66">
        <f t="shared" si="1"/>
        <v>0.43842168194499798</v>
      </c>
    </row>
    <row r="18" spans="2:11" ht="54.75" customHeight="1" thickTop="1" thickBot="1">
      <c r="B18" s="43" t="s">
        <v>31</v>
      </c>
      <c r="C18" s="43" t="s">
        <v>32</v>
      </c>
      <c r="D18" s="40">
        <v>1</v>
      </c>
      <c r="E18" s="38">
        <v>0</v>
      </c>
      <c r="F18" s="35">
        <v>0</v>
      </c>
      <c r="G18" s="35">
        <v>0</v>
      </c>
      <c r="H18" s="35">
        <v>0</v>
      </c>
      <c r="I18" s="35">
        <v>0</v>
      </c>
      <c r="J18" s="38">
        <f t="shared" si="0"/>
        <v>1</v>
      </c>
      <c r="K18" s="66">
        <f t="shared" si="1"/>
        <v>3.9856516540454363E-2</v>
      </c>
    </row>
    <row r="19" spans="2:11" ht="16.5" thickTop="1" thickBot="1">
      <c r="B19" s="161" t="s">
        <v>38</v>
      </c>
      <c r="C19" s="161"/>
      <c r="D19" s="38">
        <f t="shared" ref="D19:I19" si="2">SUM(D6:D18)</f>
        <v>52</v>
      </c>
      <c r="E19" s="38">
        <f t="shared" si="2"/>
        <v>4</v>
      </c>
      <c r="F19" s="38">
        <f t="shared" si="2"/>
        <v>1</v>
      </c>
      <c r="G19" s="38">
        <f t="shared" si="2"/>
        <v>177</v>
      </c>
      <c r="H19" s="38">
        <f t="shared" si="2"/>
        <v>2274</v>
      </c>
      <c r="I19" s="38">
        <f t="shared" si="2"/>
        <v>1</v>
      </c>
      <c r="J19" s="38">
        <f>SUM(D6:I18)</f>
        <v>2509</v>
      </c>
      <c r="K19" s="68">
        <f>J19/2509*100</f>
        <v>100</v>
      </c>
    </row>
    <row r="20" spans="2:11" ht="15.75" thickTop="1"/>
  </sheetData>
  <mergeCells count="4">
    <mergeCell ref="B7:B9"/>
    <mergeCell ref="B13:B14"/>
    <mergeCell ref="B16:B17"/>
    <mergeCell ref="B19:C19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6"/>
  <sheetViews>
    <sheetView workbookViewId="0">
      <selection activeCell="B4" sqref="B4:K4"/>
    </sheetView>
  </sheetViews>
  <sheetFormatPr baseColWidth="10" defaultRowHeight="15"/>
  <cols>
    <col min="2" max="2" width="16.42578125" customWidth="1"/>
    <col min="3" max="3" width="18.28515625" customWidth="1"/>
    <col min="8" max="8" width="13.28515625" customWidth="1"/>
    <col min="11" max="11" width="6.28515625" customWidth="1"/>
  </cols>
  <sheetData>
    <row r="3" spans="2:11" ht="15.75" thickBot="1"/>
    <row r="4" spans="2:11" ht="16.5" thickTop="1" thickBot="1">
      <c r="B4" s="166" t="s">
        <v>58</v>
      </c>
      <c r="C4" s="167"/>
      <c r="D4" s="167"/>
      <c r="E4" s="167"/>
      <c r="F4" s="167"/>
      <c r="G4" s="167"/>
      <c r="H4" s="167"/>
      <c r="I4" s="167"/>
      <c r="J4" s="167"/>
      <c r="K4" s="168"/>
    </row>
    <row r="5" spans="2:11" ht="27" thickTop="1" thickBot="1">
      <c r="B5" s="32" t="s">
        <v>0</v>
      </c>
      <c r="C5" s="32" t="s">
        <v>1</v>
      </c>
      <c r="D5" s="32" t="s">
        <v>2</v>
      </c>
      <c r="E5" s="32" t="s">
        <v>3</v>
      </c>
      <c r="F5" s="32" t="s">
        <v>4</v>
      </c>
      <c r="G5" s="32" t="s">
        <v>5</v>
      </c>
      <c r="H5" s="32" t="s">
        <v>6</v>
      </c>
      <c r="I5" s="32" t="s">
        <v>7</v>
      </c>
      <c r="J5" s="32" t="s">
        <v>8</v>
      </c>
      <c r="K5" s="32" t="s">
        <v>9</v>
      </c>
    </row>
    <row r="6" spans="2:11" ht="38.25" customHeight="1" thickTop="1" thickBot="1">
      <c r="B6" s="165" t="s">
        <v>57</v>
      </c>
      <c r="C6" s="79" t="s">
        <v>11</v>
      </c>
      <c r="D6" s="34">
        <v>0</v>
      </c>
      <c r="E6" s="34">
        <v>0</v>
      </c>
      <c r="F6" s="34">
        <v>0</v>
      </c>
      <c r="G6" s="35">
        <v>215</v>
      </c>
      <c r="H6" s="35">
        <v>2343</v>
      </c>
      <c r="I6" s="35">
        <v>0</v>
      </c>
      <c r="J6" s="35">
        <f t="shared" ref="J6:J12" si="0">SUM(D6:I6)</f>
        <v>2558</v>
      </c>
      <c r="K6" s="66">
        <f t="shared" ref="K6:K12" si="1">J6/2790*100</f>
        <v>91.68458781362007</v>
      </c>
    </row>
    <row r="7" spans="2:11" ht="25.5" customHeight="1" thickTop="1" thickBot="1">
      <c r="B7" s="160"/>
      <c r="C7" s="79" t="s">
        <v>12</v>
      </c>
      <c r="D7" s="34">
        <v>0</v>
      </c>
      <c r="E7" s="34">
        <v>0</v>
      </c>
      <c r="F7" s="34">
        <v>0</v>
      </c>
      <c r="G7" s="35">
        <v>20</v>
      </c>
      <c r="H7" s="35">
        <v>180</v>
      </c>
      <c r="I7" s="35">
        <v>0</v>
      </c>
      <c r="J7" s="35">
        <f t="shared" si="0"/>
        <v>200</v>
      </c>
      <c r="K7" s="66">
        <f t="shared" si="1"/>
        <v>7.1684587813620064</v>
      </c>
    </row>
    <row r="8" spans="2:11" ht="37.5" thickTop="1" thickBot="1">
      <c r="B8" s="80" t="s">
        <v>13</v>
      </c>
      <c r="C8" s="43" t="s">
        <v>14</v>
      </c>
      <c r="D8" s="40">
        <f>2+3+1</f>
        <v>6</v>
      </c>
      <c r="E8" s="34">
        <v>0</v>
      </c>
      <c r="F8" s="34">
        <v>0</v>
      </c>
      <c r="G8" s="34">
        <v>0</v>
      </c>
      <c r="H8" s="34">
        <v>0</v>
      </c>
      <c r="I8" s="34">
        <v>0</v>
      </c>
      <c r="J8" s="35">
        <f t="shared" si="0"/>
        <v>6</v>
      </c>
      <c r="K8" s="66">
        <f t="shared" si="1"/>
        <v>0.21505376344086022</v>
      </c>
    </row>
    <row r="9" spans="2:11" ht="16.5" thickTop="1" thickBot="1">
      <c r="B9" s="159" t="s">
        <v>19</v>
      </c>
      <c r="C9" s="43" t="s">
        <v>20</v>
      </c>
      <c r="D9" s="40">
        <v>8</v>
      </c>
      <c r="E9" s="34">
        <v>0</v>
      </c>
      <c r="F9" s="34">
        <v>0</v>
      </c>
      <c r="G9" s="34">
        <v>0</v>
      </c>
      <c r="H9" s="34">
        <v>0</v>
      </c>
      <c r="I9" s="34">
        <v>0</v>
      </c>
      <c r="J9" s="38">
        <f t="shared" si="0"/>
        <v>8</v>
      </c>
      <c r="K9" s="66">
        <f t="shared" si="1"/>
        <v>0.28673835125448027</v>
      </c>
    </row>
    <row r="10" spans="2:11" ht="16.5" thickTop="1" thickBot="1">
      <c r="B10" s="160"/>
      <c r="C10" s="43" t="s">
        <v>21</v>
      </c>
      <c r="D10" s="34">
        <f>5+1+4</f>
        <v>10</v>
      </c>
      <c r="E10" s="34">
        <v>0</v>
      </c>
      <c r="F10" s="34">
        <v>0</v>
      </c>
      <c r="G10" s="34">
        <v>0</v>
      </c>
      <c r="H10" s="34">
        <v>0</v>
      </c>
      <c r="I10" s="34">
        <v>0</v>
      </c>
      <c r="J10" s="38">
        <f t="shared" si="0"/>
        <v>10</v>
      </c>
      <c r="K10" s="66">
        <f t="shared" si="1"/>
        <v>0.35842293906810035</v>
      </c>
    </row>
    <row r="11" spans="2:11" ht="16.5" thickTop="1" thickBot="1">
      <c r="B11" s="80" t="s">
        <v>22</v>
      </c>
      <c r="C11" s="43" t="s">
        <v>23</v>
      </c>
      <c r="D11" s="40">
        <v>2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8">
        <f t="shared" si="0"/>
        <v>2</v>
      </c>
      <c r="K11" s="66">
        <f t="shared" si="1"/>
        <v>7.1684587813620068E-2</v>
      </c>
    </row>
    <row r="12" spans="2:11" ht="49.5" thickTop="1" thickBot="1">
      <c r="B12" s="80" t="s">
        <v>26</v>
      </c>
      <c r="C12" s="43" t="s">
        <v>28</v>
      </c>
      <c r="D12" s="34">
        <f>4+2</f>
        <v>6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8">
        <f t="shared" si="0"/>
        <v>6</v>
      </c>
      <c r="K12" s="66">
        <f t="shared" si="1"/>
        <v>0.21505376344086022</v>
      </c>
    </row>
    <row r="13" spans="2:11" ht="16.5" thickTop="1" thickBot="1">
      <c r="B13" s="161" t="s">
        <v>38</v>
      </c>
      <c r="C13" s="161"/>
      <c r="D13" s="38">
        <f t="shared" ref="D13:I13" si="2">SUM(D6:D12)</f>
        <v>32</v>
      </c>
      <c r="E13" s="38">
        <f t="shared" si="2"/>
        <v>0</v>
      </c>
      <c r="F13" s="38">
        <f t="shared" si="2"/>
        <v>0</v>
      </c>
      <c r="G13" s="38">
        <f t="shared" si="2"/>
        <v>235</v>
      </c>
      <c r="H13" s="38">
        <f t="shared" si="2"/>
        <v>2523</v>
      </c>
      <c r="I13" s="38">
        <f t="shared" si="2"/>
        <v>0</v>
      </c>
      <c r="J13" s="38">
        <f>SUM(D6:I12)</f>
        <v>2790</v>
      </c>
      <c r="K13" s="68">
        <f>J13/2790*100</f>
        <v>100</v>
      </c>
    </row>
    <row r="14" spans="2:11" ht="15.75" thickTop="1"/>
    <row r="16" spans="2:11">
      <c r="B16" s="77" t="s">
        <v>55</v>
      </c>
      <c r="C16" s="77" t="s">
        <v>56</v>
      </c>
    </row>
  </sheetData>
  <mergeCells count="4">
    <mergeCell ref="B6:B7"/>
    <mergeCell ref="B9:B10"/>
    <mergeCell ref="B13:C13"/>
    <mergeCell ref="B4:K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8"/>
  <sheetViews>
    <sheetView workbookViewId="0">
      <selection activeCell="B18" sqref="B18:C18"/>
    </sheetView>
  </sheetViews>
  <sheetFormatPr baseColWidth="10" defaultRowHeight="15"/>
  <cols>
    <col min="2" max="2" width="19.7109375" customWidth="1"/>
    <col min="3" max="3" width="23" customWidth="1"/>
    <col min="7" max="7" width="12.42578125" customWidth="1"/>
    <col min="8" max="8" width="14" customWidth="1"/>
    <col min="11" max="11" width="8.5703125" customWidth="1"/>
  </cols>
  <sheetData>
    <row r="3" spans="2:11" ht="15.75" thickBot="1"/>
    <row r="4" spans="2:11" ht="16.5" thickTop="1" thickBot="1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>
      <c r="B5" s="165" t="s">
        <v>57</v>
      </c>
      <c r="C5" s="83" t="s">
        <v>11</v>
      </c>
      <c r="D5" s="34">
        <v>0</v>
      </c>
      <c r="E5" s="34">
        <v>0</v>
      </c>
      <c r="F5" s="34">
        <v>0</v>
      </c>
      <c r="G5" s="35">
        <v>235</v>
      </c>
      <c r="H5" s="35">
        <v>2688</v>
      </c>
      <c r="I5" s="35">
        <v>0</v>
      </c>
      <c r="J5" s="35">
        <f t="shared" ref="J5:J14" si="0">SUM(D5:I5)</f>
        <v>2923</v>
      </c>
      <c r="K5" s="66">
        <f t="shared" ref="K5:K14" si="1">J5/3181*100</f>
        <v>91.889342973907574</v>
      </c>
    </row>
    <row r="6" spans="2:11" ht="25.5" thickTop="1" thickBot="1">
      <c r="B6" s="160"/>
      <c r="C6" s="83" t="s">
        <v>12</v>
      </c>
      <c r="D6" s="34">
        <v>0</v>
      </c>
      <c r="E6" s="34">
        <v>0</v>
      </c>
      <c r="F6" s="34">
        <v>0</v>
      </c>
      <c r="G6" s="35">
        <v>23</v>
      </c>
      <c r="H6" s="35">
        <v>183</v>
      </c>
      <c r="I6" s="35">
        <v>0</v>
      </c>
      <c r="J6" s="35">
        <f t="shared" si="0"/>
        <v>206</v>
      </c>
      <c r="K6" s="66">
        <f t="shared" si="1"/>
        <v>6.4759509588179816</v>
      </c>
    </row>
    <row r="7" spans="2:11" ht="16.5" thickTop="1" thickBot="1">
      <c r="B7" s="159" t="s">
        <v>17</v>
      </c>
      <c r="C7" s="43" t="s">
        <v>50</v>
      </c>
      <c r="D7" s="34">
        <v>0</v>
      </c>
      <c r="E7" s="34">
        <v>0</v>
      </c>
      <c r="F7" s="34">
        <v>0</v>
      </c>
      <c r="G7" s="34">
        <v>0</v>
      </c>
      <c r="H7" s="34">
        <v>0</v>
      </c>
      <c r="I7" s="38">
        <v>1</v>
      </c>
      <c r="J7" s="35">
        <f t="shared" si="0"/>
        <v>1</v>
      </c>
      <c r="K7" s="66">
        <f t="shared" si="1"/>
        <v>3.1436655139893112E-2</v>
      </c>
    </row>
    <row r="8" spans="2:11" ht="25.5" thickTop="1" thickBot="1">
      <c r="B8" s="160"/>
      <c r="C8" s="43" t="s">
        <v>18</v>
      </c>
      <c r="D8" s="34">
        <v>0</v>
      </c>
      <c r="E8" s="34">
        <v>0</v>
      </c>
      <c r="F8" s="34">
        <v>0</v>
      </c>
      <c r="G8" s="34">
        <v>0</v>
      </c>
      <c r="H8" s="38">
        <v>3</v>
      </c>
      <c r="I8" s="38">
        <v>0</v>
      </c>
      <c r="J8" s="35">
        <f t="shared" si="0"/>
        <v>3</v>
      </c>
      <c r="K8" s="66">
        <f t="shared" si="1"/>
        <v>9.4309965419679356E-2</v>
      </c>
    </row>
    <row r="9" spans="2:11" ht="49.5" thickTop="1" thickBot="1">
      <c r="B9" s="85" t="s">
        <v>59</v>
      </c>
      <c r="C9" s="43" t="s">
        <v>16</v>
      </c>
      <c r="D9" s="40">
        <v>1</v>
      </c>
      <c r="E9" s="34">
        <v>0</v>
      </c>
      <c r="F9" s="34">
        <v>0</v>
      </c>
      <c r="G9" s="34">
        <v>0</v>
      </c>
      <c r="H9" s="34">
        <v>0</v>
      </c>
      <c r="I9" s="38">
        <v>0</v>
      </c>
      <c r="J9" s="35">
        <f t="shared" si="0"/>
        <v>1</v>
      </c>
      <c r="K9" s="66">
        <f t="shared" si="1"/>
        <v>3.1436655139893112E-2</v>
      </c>
    </row>
    <row r="10" spans="2:11" ht="25.5" thickTop="1" thickBot="1">
      <c r="B10" s="159" t="s">
        <v>13</v>
      </c>
      <c r="C10" s="43" t="s">
        <v>36</v>
      </c>
      <c r="D10" s="34">
        <v>0</v>
      </c>
      <c r="E10" s="34">
        <v>0</v>
      </c>
      <c r="F10" s="34">
        <v>0</v>
      </c>
      <c r="G10" s="34">
        <v>0</v>
      </c>
      <c r="H10" s="34">
        <v>0</v>
      </c>
      <c r="I10" s="38">
        <v>1</v>
      </c>
      <c r="J10" s="35">
        <f t="shared" si="0"/>
        <v>1</v>
      </c>
      <c r="K10" s="66">
        <f t="shared" si="1"/>
        <v>3.1436655139893112E-2</v>
      </c>
    </row>
    <row r="11" spans="2:11" ht="25.5" thickTop="1" thickBot="1">
      <c r="B11" s="160"/>
      <c r="C11" s="43" t="s">
        <v>14</v>
      </c>
      <c r="D11" s="40">
        <f>1+3+5</f>
        <v>9</v>
      </c>
      <c r="E11" s="34">
        <v>0</v>
      </c>
      <c r="F11" s="34">
        <v>0</v>
      </c>
      <c r="G11" s="34">
        <v>0</v>
      </c>
      <c r="H11" s="34">
        <v>0</v>
      </c>
      <c r="I11" s="34">
        <v>0</v>
      </c>
      <c r="J11" s="35">
        <f t="shared" si="0"/>
        <v>9</v>
      </c>
      <c r="K11" s="66">
        <f t="shared" si="1"/>
        <v>0.28292989625903803</v>
      </c>
    </row>
    <row r="12" spans="2:11" ht="16.5" thickTop="1" thickBot="1">
      <c r="B12" s="159" t="s">
        <v>19</v>
      </c>
      <c r="C12" s="43" t="s">
        <v>20</v>
      </c>
      <c r="D12" s="40">
        <v>19</v>
      </c>
      <c r="E12" s="38">
        <v>0</v>
      </c>
      <c r="F12" s="38">
        <v>1</v>
      </c>
      <c r="G12" s="34">
        <v>0</v>
      </c>
      <c r="H12" s="34">
        <v>0</v>
      </c>
      <c r="I12" s="34">
        <v>0</v>
      </c>
      <c r="J12" s="38">
        <f t="shared" si="0"/>
        <v>20</v>
      </c>
      <c r="K12" s="66">
        <f t="shared" si="1"/>
        <v>0.62873310279786232</v>
      </c>
    </row>
    <row r="13" spans="2:11" ht="16.5" thickTop="1" thickBot="1">
      <c r="B13" s="160"/>
      <c r="C13" s="43" t="s">
        <v>21</v>
      </c>
      <c r="D13" s="34">
        <f>5+1+2+1</f>
        <v>9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9</v>
      </c>
      <c r="K13" s="66">
        <f t="shared" si="1"/>
        <v>0.28292989625903803</v>
      </c>
    </row>
    <row r="14" spans="2:11" ht="37.5" thickTop="1" thickBot="1">
      <c r="B14" s="84" t="s">
        <v>26</v>
      </c>
      <c r="C14" s="43" t="s">
        <v>28</v>
      </c>
      <c r="D14" s="34">
        <f>6+1</f>
        <v>7</v>
      </c>
      <c r="E14" s="38">
        <v>0</v>
      </c>
      <c r="F14" s="38">
        <v>0</v>
      </c>
      <c r="G14" s="38">
        <v>0</v>
      </c>
      <c r="H14" s="38">
        <v>0</v>
      </c>
      <c r="I14" s="38">
        <v>1</v>
      </c>
      <c r="J14" s="38">
        <f t="shared" si="0"/>
        <v>8</v>
      </c>
      <c r="K14" s="66">
        <f t="shared" si="1"/>
        <v>0.25149324111914489</v>
      </c>
    </row>
    <row r="15" spans="2:11" ht="16.5" thickTop="1" thickBot="1">
      <c r="B15" s="161" t="s">
        <v>38</v>
      </c>
      <c r="C15" s="161"/>
      <c r="D15" s="38">
        <f t="shared" ref="D15:I15" si="2">SUM(D5:D14)</f>
        <v>45</v>
      </c>
      <c r="E15" s="38">
        <f t="shared" si="2"/>
        <v>0</v>
      </c>
      <c r="F15" s="38">
        <f t="shared" si="2"/>
        <v>1</v>
      </c>
      <c r="G15" s="38">
        <f t="shared" si="2"/>
        <v>258</v>
      </c>
      <c r="H15" s="38">
        <f t="shared" si="2"/>
        <v>2874</v>
      </c>
      <c r="I15" s="38">
        <f t="shared" si="2"/>
        <v>3</v>
      </c>
      <c r="J15" s="38">
        <f>SUM(D5:I14)</f>
        <v>3181</v>
      </c>
      <c r="K15" s="68">
        <f>J15/3181*100</f>
        <v>100</v>
      </c>
    </row>
    <row r="16" spans="2:11" ht="15.75" thickTop="1"/>
    <row r="18" spans="2:3">
      <c r="B18" s="77" t="s">
        <v>55</v>
      </c>
      <c r="C18" s="77" t="s">
        <v>60</v>
      </c>
    </row>
  </sheetData>
  <mergeCells count="5">
    <mergeCell ref="B5:B6"/>
    <mergeCell ref="B7:B8"/>
    <mergeCell ref="B10:B11"/>
    <mergeCell ref="B12:B13"/>
    <mergeCell ref="B15:C15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9"/>
  <sheetViews>
    <sheetView workbookViewId="0">
      <selection activeCell="B3" sqref="B3:K3"/>
    </sheetView>
  </sheetViews>
  <sheetFormatPr baseColWidth="10" defaultRowHeight="15"/>
  <cols>
    <col min="2" max="2" width="14.85546875" customWidth="1"/>
    <col min="3" max="3" width="18.7109375" customWidth="1"/>
    <col min="8" max="8" width="14" customWidth="1"/>
    <col min="11" max="11" width="7.5703125" customWidth="1"/>
  </cols>
  <sheetData>
    <row r="2" spans="2:11" ht="15.75" thickBot="1"/>
    <row r="3" spans="2:11" ht="16.5" thickTop="1" thickBot="1">
      <c r="B3" s="166" t="s">
        <v>63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ht="27" thickTop="1" thickBot="1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>
      <c r="B5" s="158" t="s">
        <v>57</v>
      </c>
      <c r="C5" s="86" t="s">
        <v>11</v>
      </c>
      <c r="D5" s="35">
        <v>0</v>
      </c>
      <c r="E5" s="35">
        <v>0</v>
      </c>
      <c r="F5" s="35">
        <v>0</v>
      </c>
      <c r="G5" s="35">
        <v>253</v>
      </c>
      <c r="H5" s="35">
        <v>2787</v>
      </c>
      <c r="I5" s="35">
        <v>0</v>
      </c>
      <c r="J5" s="35">
        <f t="shared" ref="J5:J15" si="0">SUM(D5:I5)</f>
        <v>3040</v>
      </c>
      <c r="K5" s="66">
        <f t="shared" ref="K5:K15" si="1">J5/3424*100</f>
        <v>88.785046728971963</v>
      </c>
    </row>
    <row r="6" spans="2:11" ht="25.5" thickTop="1" thickBot="1">
      <c r="B6" s="158"/>
      <c r="C6" s="86" t="s">
        <v>12</v>
      </c>
      <c r="D6" s="35">
        <v>0</v>
      </c>
      <c r="E6" s="35">
        <v>0</v>
      </c>
      <c r="F6" s="35">
        <v>0</v>
      </c>
      <c r="G6" s="35">
        <v>30</v>
      </c>
      <c r="H6" s="35">
        <v>277</v>
      </c>
      <c r="I6" s="35">
        <v>0</v>
      </c>
      <c r="J6" s="35">
        <f t="shared" si="0"/>
        <v>307</v>
      </c>
      <c r="K6" s="66">
        <f t="shared" si="1"/>
        <v>8.9661214953271031</v>
      </c>
    </row>
    <row r="7" spans="2:11" ht="37.5" thickTop="1" thickBot="1">
      <c r="B7" s="86" t="s">
        <v>48</v>
      </c>
      <c r="C7" s="43" t="s">
        <v>49</v>
      </c>
      <c r="D7" s="38">
        <v>1</v>
      </c>
      <c r="E7" s="35">
        <v>0</v>
      </c>
      <c r="F7" s="35">
        <v>0</v>
      </c>
      <c r="G7" s="38">
        <v>0</v>
      </c>
      <c r="H7" s="38">
        <v>0</v>
      </c>
      <c r="I7" s="38">
        <v>0</v>
      </c>
      <c r="J7" s="35">
        <f t="shared" si="0"/>
        <v>1</v>
      </c>
      <c r="K7" s="66">
        <f t="shared" si="1"/>
        <v>2.920560747663551E-2</v>
      </c>
    </row>
    <row r="8" spans="2:11" ht="25.5" thickTop="1" thickBot="1">
      <c r="B8" s="86" t="s">
        <v>61</v>
      </c>
      <c r="C8" s="43" t="s">
        <v>35</v>
      </c>
      <c r="D8" s="35">
        <v>0</v>
      </c>
      <c r="E8" s="35">
        <v>0</v>
      </c>
      <c r="F8" s="35">
        <v>0</v>
      </c>
      <c r="G8" s="35">
        <v>0</v>
      </c>
      <c r="H8" s="38">
        <v>0</v>
      </c>
      <c r="I8" s="38">
        <v>1</v>
      </c>
      <c r="J8" s="35">
        <f t="shared" si="0"/>
        <v>1</v>
      </c>
      <c r="K8" s="66">
        <f t="shared" si="1"/>
        <v>2.920560747663551E-2</v>
      </c>
    </row>
    <row r="9" spans="2:11" ht="24.75" customHeight="1" thickTop="1" thickBot="1">
      <c r="B9" s="158" t="s">
        <v>59</v>
      </c>
      <c r="C9" s="43" t="s">
        <v>62</v>
      </c>
      <c r="D9" s="38">
        <v>1</v>
      </c>
      <c r="E9" s="35">
        <v>0</v>
      </c>
      <c r="F9" s="35">
        <v>0</v>
      </c>
      <c r="G9" s="38">
        <v>0</v>
      </c>
      <c r="H9" s="35">
        <v>0</v>
      </c>
      <c r="I9" s="38">
        <v>0</v>
      </c>
      <c r="J9" s="35">
        <f t="shared" si="0"/>
        <v>1</v>
      </c>
      <c r="K9" s="66">
        <f t="shared" si="1"/>
        <v>2.920560747663551E-2</v>
      </c>
    </row>
    <row r="10" spans="2:11" ht="61.5" thickTop="1" thickBot="1">
      <c r="B10" s="158"/>
      <c r="C10" s="43" t="s">
        <v>16</v>
      </c>
      <c r="D10" s="38">
        <v>4</v>
      </c>
      <c r="E10" s="35">
        <v>0</v>
      </c>
      <c r="F10" s="35">
        <v>0</v>
      </c>
      <c r="G10" s="38">
        <v>0</v>
      </c>
      <c r="H10" s="38">
        <v>0</v>
      </c>
      <c r="I10" s="38">
        <v>0</v>
      </c>
      <c r="J10" s="35">
        <f t="shared" si="0"/>
        <v>4</v>
      </c>
      <c r="K10" s="66">
        <f t="shared" si="1"/>
        <v>0.11682242990654204</v>
      </c>
    </row>
    <row r="11" spans="2:11" ht="37.5" thickTop="1" thickBot="1">
      <c r="B11" s="86" t="s">
        <v>13</v>
      </c>
      <c r="C11" s="43" t="s">
        <v>14</v>
      </c>
      <c r="D11" s="38">
        <f>1+1+1+1+3</f>
        <v>7</v>
      </c>
      <c r="E11" s="38">
        <v>0</v>
      </c>
      <c r="F11" s="38">
        <v>1</v>
      </c>
      <c r="G11" s="38">
        <v>0</v>
      </c>
      <c r="H11" s="38">
        <v>0</v>
      </c>
      <c r="I11" s="38">
        <v>0</v>
      </c>
      <c r="J11" s="35">
        <f t="shared" si="0"/>
        <v>8</v>
      </c>
      <c r="K11" s="66">
        <f t="shared" si="1"/>
        <v>0.23364485981308408</v>
      </c>
    </row>
    <row r="12" spans="2:11" ht="37.5" thickTop="1" thickBot="1">
      <c r="B12" s="43" t="s">
        <v>24</v>
      </c>
      <c r="C12" s="43" t="s">
        <v>25</v>
      </c>
      <c r="D12" s="38">
        <v>1</v>
      </c>
      <c r="E12" s="38">
        <v>0</v>
      </c>
      <c r="F12" s="38">
        <v>0</v>
      </c>
      <c r="G12" s="38">
        <v>1</v>
      </c>
      <c r="H12" s="38">
        <v>0</v>
      </c>
      <c r="I12" s="38">
        <v>0</v>
      </c>
      <c r="J12" s="35">
        <f t="shared" si="0"/>
        <v>2</v>
      </c>
      <c r="K12" s="66">
        <f t="shared" si="1"/>
        <v>5.8411214953271021E-2</v>
      </c>
    </row>
    <row r="13" spans="2:11" ht="27" customHeight="1" thickTop="1" thickBot="1">
      <c r="B13" s="158" t="s">
        <v>19</v>
      </c>
      <c r="C13" s="43" t="s">
        <v>20</v>
      </c>
      <c r="D13" s="38">
        <v>40</v>
      </c>
      <c r="E13" s="38">
        <v>0</v>
      </c>
      <c r="F13" s="38">
        <v>0</v>
      </c>
      <c r="G13" s="38">
        <v>0</v>
      </c>
      <c r="H13" s="38">
        <v>0</v>
      </c>
      <c r="I13" s="38">
        <v>0</v>
      </c>
      <c r="J13" s="38">
        <f t="shared" si="0"/>
        <v>40</v>
      </c>
      <c r="K13" s="66">
        <f t="shared" si="1"/>
        <v>1.1682242990654206</v>
      </c>
    </row>
    <row r="14" spans="2:11" ht="24.75" customHeight="1" thickTop="1" thickBot="1">
      <c r="B14" s="158"/>
      <c r="C14" s="43" t="s">
        <v>21</v>
      </c>
      <c r="D14" s="35">
        <f>3+1+4</f>
        <v>8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f t="shared" si="0"/>
        <v>8</v>
      </c>
      <c r="K14" s="66">
        <f t="shared" si="1"/>
        <v>0.23364485981308408</v>
      </c>
    </row>
    <row r="15" spans="2:11" ht="49.5" thickTop="1" thickBot="1">
      <c r="B15" s="86" t="s">
        <v>26</v>
      </c>
      <c r="C15" s="43" t="s">
        <v>28</v>
      </c>
      <c r="D15" s="35">
        <f>11+1</f>
        <v>12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f t="shared" si="0"/>
        <v>12</v>
      </c>
      <c r="K15" s="66">
        <f t="shared" si="1"/>
        <v>0.35046728971962615</v>
      </c>
    </row>
    <row r="16" spans="2:11" ht="16.5" thickTop="1" thickBot="1">
      <c r="B16" s="161" t="s">
        <v>38</v>
      </c>
      <c r="C16" s="161"/>
      <c r="D16" s="38">
        <f t="shared" ref="D16:I16" si="2">SUM(D5:D15)</f>
        <v>74</v>
      </c>
      <c r="E16" s="38">
        <f t="shared" si="2"/>
        <v>0</v>
      </c>
      <c r="F16" s="38">
        <f t="shared" si="2"/>
        <v>1</v>
      </c>
      <c r="G16" s="38">
        <f t="shared" si="2"/>
        <v>284</v>
      </c>
      <c r="H16" s="38">
        <f t="shared" si="2"/>
        <v>3064</v>
      </c>
      <c r="I16" s="38">
        <f t="shared" si="2"/>
        <v>1</v>
      </c>
      <c r="J16" s="38">
        <f>SUM(D5:I15)</f>
        <v>3424</v>
      </c>
      <c r="K16" s="68">
        <f>J16/3424*100</f>
        <v>100</v>
      </c>
    </row>
    <row r="17" spans="2:3" ht="15.75" thickTop="1"/>
    <row r="19" spans="2:3">
      <c r="B19" s="77" t="s">
        <v>55</v>
      </c>
      <c r="C19" s="77" t="s">
        <v>60</v>
      </c>
    </row>
  </sheetData>
  <mergeCells count="5">
    <mergeCell ref="B5:B6"/>
    <mergeCell ref="B9:B10"/>
    <mergeCell ref="B13:B14"/>
    <mergeCell ref="B16:C16"/>
    <mergeCell ref="B3:K3"/>
  </mergeCells>
  <pageMargins left="0.7" right="0.7" top="0.75" bottom="0.75" header="0.3" footer="0.3"/>
  <pageSetup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1"/>
  <sheetViews>
    <sheetView topLeftCell="B1" workbookViewId="0">
      <selection activeCell="F24" sqref="F24"/>
    </sheetView>
  </sheetViews>
  <sheetFormatPr baseColWidth="10" defaultRowHeight="15"/>
  <cols>
    <col min="2" max="2" width="15.5703125" customWidth="1"/>
    <col min="3" max="3" width="20.85546875" customWidth="1"/>
    <col min="8" max="8" width="13.140625" customWidth="1"/>
    <col min="11" max="11" width="8.28515625" customWidth="1"/>
  </cols>
  <sheetData>
    <row r="2" spans="2:11" ht="15.75" thickBot="1"/>
    <row r="3" spans="2:11" ht="16.5" thickTop="1" thickBot="1">
      <c r="B3" s="166" t="s">
        <v>65</v>
      </c>
      <c r="C3" s="167"/>
      <c r="D3" s="167"/>
      <c r="E3" s="167"/>
      <c r="F3" s="167"/>
      <c r="G3" s="167"/>
      <c r="H3" s="167"/>
      <c r="I3" s="167"/>
      <c r="J3" s="167"/>
      <c r="K3" s="168"/>
    </row>
    <row r="4" spans="2:11" ht="27" thickTop="1" thickBot="1">
      <c r="B4" s="32" t="s">
        <v>0</v>
      </c>
      <c r="C4" s="32" t="s">
        <v>1</v>
      </c>
      <c r="D4" s="32" t="s">
        <v>2</v>
      </c>
      <c r="E4" s="32" t="s">
        <v>3</v>
      </c>
      <c r="F4" s="32" t="s">
        <v>4</v>
      </c>
      <c r="G4" s="32" t="s">
        <v>5</v>
      </c>
      <c r="H4" s="32" t="s">
        <v>6</v>
      </c>
      <c r="I4" s="32" t="s">
        <v>7</v>
      </c>
      <c r="J4" s="32" t="s">
        <v>8</v>
      </c>
      <c r="K4" s="32" t="s">
        <v>9</v>
      </c>
    </row>
    <row r="5" spans="2:11" ht="37.5" thickTop="1" thickBot="1">
      <c r="B5" s="165" t="s">
        <v>57</v>
      </c>
      <c r="C5" s="87" t="s">
        <v>11</v>
      </c>
      <c r="D5" s="34">
        <v>1</v>
      </c>
      <c r="E5" s="35">
        <v>0</v>
      </c>
      <c r="F5" s="35">
        <v>1</v>
      </c>
      <c r="G5" s="35">
        <v>283</v>
      </c>
      <c r="H5" s="35">
        <v>2844</v>
      </c>
      <c r="I5" s="35">
        <v>0</v>
      </c>
      <c r="J5" s="35">
        <f t="shared" ref="J5:J17" si="0">SUM(D5:I5)</f>
        <v>3129</v>
      </c>
      <c r="K5" s="66">
        <f t="shared" ref="K5:K18" si="1">J5/3586*100</f>
        <v>87.255995538204118</v>
      </c>
    </row>
    <row r="6" spans="2:11" ht="25.5" thickTop="1" thickBot="1">
      <c r="B6" s="165"/>
      <c r="C6" s="87" t="s">
        <v>12</v>
      </c>
      <c r="D6" s="34">
        <v>3</v>
      </c>
      <c r="E6" s="35">
        <v>0</v>
      </c>
      <c r="F6" s="35">
        <v>0</v>
      </c>
      <c r="G6" s="35">
        <v>16</v>
      </c>
      <c r="H6" s="35">
        <v>321</v>
      </c>
      <c r="I6" s="35">
        <v>0</v>
      </c>
      <c r="J6" s="35">
        <f t="shared" si="0"/>
        <v>340</v>
      </c>
      <c r="K6" s="66">
        <f t="shared" si="1"/>
        <v>9.481316229782486</v>
      </c>
    </row>
    <row r="7" spans="2:11" ht="25.5" thickTop="1" thickBot="1">
      <c r="B7" s="87" t="s">
        <v>61</v>
      </c>
      <c r="C7" s="43" t="s">
        <v>18</v>
      </c>
      <c r="D7" s="40">
        <v>0</v>
      </c>
      <c r="E7" s="40">
        <v>0</v>
      </c>
      <c r="F7" s="40">
        <v>0</v>
      </c>
      <c r="G7" s="40">
        <v>0</v>
      </c>
      <c r="H7" s="38">
        <v>1</v>
      </c>
      <c r="I7" s="35">
        <v>0</v>
      </c>
      <c r="J7" s="35">
        <f t="shared" si="0"/>
        <v>1</v>
      </c>
      <c r="K7" s="66">
        <f t="shared" si="1"/>
        <v>2.7886224205242612E-2</v>
      </c>
    </row>
    <row r="8" spans="2:11" ht="30.75" customHeight="1" thickTop="1" thickBot="1">
      <c r="B8" s="158" t="s">
        <v>59</v>
      </c>
      <c r="C8" s="42" t="s">
        <v>62</v>
      </c>
      <c r="D8" s="40">
        <v>1</v>
      </c>
      <c r="E8" s="40">
        <v>0</v>
      </c>
      <c r="F8" s="40">
        <v>0</v>
      </c>
      <c r="G8" s="40">
        <v>0</v>
      </c>
      <c r="H8" s="35">
        <v>0</v>
      </c>
      <c r="I8" s="35">
        <v>0</v>
      </c>
      <c r="J8" s="35">
        <f t="shared" si="0"/>
        <v>1</v>
      </c>
      <c r="K8" s="66">
        <f t="shared" si="1"/>
        <v>2.7886224205242612E-2</v>
      </c>
    </row>
    <row r="9" spans="2:11" ht="49.5" thickTop="1" thickBot="1">
      <c r="B9" s="158"/>
      <c r="C9" s="42" t="s">
        <v>16</v>
      </c>
      <c r="D9" s="40">
        <v>1</v>
      </c>
      <c r="E9" s="38">
        <v>1</v>
      </c>
      <c r="F9" s="34">
        <v>0</v>
      </c>
      <c r="G9" s="38">
        <v>0</v>
      </c>
      <c r="H9" s="38">
        <v>0</v>
      </c>
      <c r="I9" s="35">
        <v>0</v>
      </c>
      <c r="J9" s="35">
        <f t="shared" si="0"/>
        <v>2</v>
      </c>
      <c r="K9" s="66">
        <f t="shared" si="1"/>
        <v>5.5772448410485224E-2</v>
      </c>
    </row>
    <row r="10" spans="2:11" ht="25.5" thickTop="1" thickBot="1">
      <c r="B10" s="159" t="s">
        <v>13</v>
      </c>
      <c r="C10" s="43" t="s">
        <v>36</v>
      </c>
      <c r="D10" s="40">
        <v>1</v>
      </c>
      <c r="E10" s="34">
        <v>0</v>
      </c>
      <c r="F10" s="34">
        <v>0</v>
      </c>
      <c r="G10" s="38">
        <v>0</v>
      </c>
      <c r="H10" s="38">
        <v>0</v>
      </c>
      <c r="I10" s="35">
        <v>0</v>
      </c>
      <c r="J10" s="35">
        <f t="shared" si="0"/>
        <v>1</v>
      </c>
      <c r="K10" s="66">
        <f t="shared" si="1"/>
        <v>2.7886224205242612E-2</v>
      </c>
    </row>
    <row r="11" spans="2:11" ht="25.5" thickTop="1" thickBot="1">
      <c r="B11" s="160"/>
      <c r="C11" s="43" t="s">
        <v>14</v>
      </c>
      <c r="D11" s="40">
        <f>1+2</f>
        <v>3</v>
      </c>
      <c r="E11" s="34">
        <v>0</v>
      </c>
      <c r="F11" s="38">
        <v>1</v>
      </c>
      <c r="G11" s="38">
        <v>0</v>
      </c>
      <c r="H11" s="38">
        <v>0</v>
      </c>
      <c r="I11" s="35">
        <v>0</v>
      </c>
      <c r="J11" s="35">
        <f t="shared" si="0"/>
        <v>4</v>
      </c>
      <c r="K11" s="66">
        <f t="shared" si="1"/>
        <v>0.11154489682097045</v>
      </c>
    </row>
    <row r="12" spans="2:11" ht="28.5" customHeight="1" thickTop="1" thickBot="1">
      <c r="B12" s="43" t="s">
        <v>22</v>
      </c>
      <c r="C12" s="43" t="s">
        <v>23</v>
      </c>
      <c r="D12" s="40">
        <v>5</v>
      </c>
      <c r="E12" s="34">
        <v>0</v>
      </c>
      <c r="F12" s="38">
        <v>0</v>
      </c>
      <c r="G12" s="38">
        <v>0</v>
      </c>
      <c r="H12" s="38">
        <v>0</v>
      </c>
      <c r="I12" s="35">
        <v>0</v>
      </c>
      <c r="J12" s="35">
        <f t="shared" si="0"/>
        <v>5</v>
      </c>
      <c r="K12" s="66">
        <f t="shared" si="1"/>
        <v>0.13943112102621305</v>
      </c>
    </row>
    <row r="13" spans="2:11" ht="31.5" customHeight="1" thickTop="1" thickBot="1">
      <c r="B13" s="159" t="s">
        <v>19</v>
      </c>
      <c r="C13" s="43" t="s">
        <v>20</v>
      </c>
      <c r="D13" s="40">
        <v>67</v>
      </c>
      <c r="E13" s="34">
        <v>0</v>
      </c>
      <c r="F13" s="38">
        <v>2</v>
      </c>
      <c r="G13" s="38">
        <v>0</v>
      </c>
      <c r="H13" s="38">
        <v>0</v>
      </c>
      <c r="I13" s="35">
        <v>0</v>
      </c>
      <c r="J13" s="38">
        <f t="shared" si="0"/>
        <v>69</v>
      </c>
      <c r="K13" s="66">
        <f t="shared" si="1"/>
        <v>1.9241494701617401</v>
      </c>
    </row>
    <row r="14" spans="2:11" ht="44.25" customHeight="1" thickTop="1" thickBot="1">
      <c r="B14" s="160"/>
      <c r="C14" s="43" t="s">
        <v>21</v>
      </c>
      <c r="D14" s="34">
        <f>6+2</f>
        <v>8</v>
      </c>
      <c r="E14" s="34">
        <v>0</v>
      </c>
      <c r="F14" s="35">
        <v>0</v>
      </c>
      <c r="G14" s="38">
        <v>0</v>
      </c>
      <c r="H14" s="38">
        <v>0</v>
      </c>
      <c r="I14" s="35">
        <v>0</v>
      </c>
      <c r="J14" s="38">
        <f t="shared" si="0"/>
        <v>8</v>
      </c>
      <c r="K14" s="66">
        <f t="shared" si="1"/>
        <v>0.2230897936419409</v>
      </c>
    </row>
    <row r="15" spans="2:11" ht="26.25" customHeight="1" thickTop="1" thickBot="1">
      <c r="B15" s="159" t="s">
        <v>26</v>
      </c>
      <c r="C15" s="43" t="s">
        <v>64</v>
      </c>
      <c r="D15" s="34">
        <v>2</v>
      </c>
      <c r="E15" s="34">
        <v>0</v>
      </c>
      <c r="F15" s="35">
        <v>0</v>
      </c>
      <c r="G15" s="38">
        <v>0</v>
      </c>
      <c r="H15" s="38">
        <v>0</v>
      </c>
      <c r="I15" s="35">
        <v>0</v>
      </c>
      <c r="J15" s="38">
        <f t="shared" si="0"/>
        <v>2</v>
      </c>
      <c r="K15" s="66">
        <f t="shared" si="1"/>
        <v>5.5772448410485224E-2</v>
      </c>
    </row>
    <row r="16" spans="2:11" ht="40.5" customHeight="1" thickTop="1" thickBot="1">
      <c r="B16" s="165"/>
      <c r="C16" s="43" t="s">
        <v>28</v>
      </c>
      <c r="D16" s="34">
        <v>22</v>
      </c>
      <c r="E16" s="38">
        <v>1</v>
      </c>
      <c r="F16" s="35">
        <v>0</v>
      </c>
      <c r="G16" s="38">
        <v>0</v>
      </c>
      <c r="H16" s="38">
        <v>0</v>
      </c>
      <c r="I16" s="35">
        <v>0</v>
      </c>
      <c r="J16" s="38">
        <f t="shared" si="0"/>
        <v>23</v>
      </c>
      <c r="K16" s="66">
        <f t="shared" si="1"/>
        <v>0.64138315672058011</v>
      </c>
    </row>
    <row r="17" spans="2:11" ht="69" customHeight="1" thickTop="1" thickBot="1">
      <c r="B17" s="43" t="s">
        <v>31</v>
      </c>
      <c r="C17" s="43" t="s">
        <v>32</v>
      </c>
      <c r="D17" s="40">
        <v>0</v>
      </c>
      <c r="E17" s="38">
        <v>1</v>
      </c>
      <c r="F17" s="38">
        <v>0</v>
      </c>
      <c r="G17" s="38">
        <v>0</v>
      </c>
      <c r="H17" s="38">
        <v>0</v>
      </c>
      <c r="I17" s="35">
        <v>0</v>
      </c>
      <c r="J17" s="38">
        <f t="shared" si="0"/>
        <v>1</v>
      </c>
      <c r="K17" s="66">
        <f t="shared" si="1"/>
        <v>2.7886224205242612E-2</v>
      </c>
    </row>
    <row r="18" spans="2:11" ht="16.5" thickTop="1" thickBot="1">
      <c r="B18" s="161" t="s">
        <v>38</v>
      </c>
      <c r="C18" s="161"/>
      <c r="D18" s="38">
        <f>SUM(D5:D16)</f>
        <v>114</v>
      </c>
      <c r="E18" s="38">
        <f>SUM(E5:E17)</f>
        <v>3</v>
      </c>
      <c r="F18" s="38">
        <f>SUM(F5:F17)</f>
        <v>4</v>
      </c>
      <c r="G18" s="38">
        <f>SUM(G5:G17)</f>
        <v>299</v>
      </c>
      <c r="H18" s="38">
        <f>SUM(H5:H17)</f>
        <v>3166</v>
      </c>
      <c r="I18" s="38">
        <f>SUM(I5:I17)</f>
        <v>0</v>
      </c>
      <c r="J18" s="38">
        <f>SUM(D5:I17)</f>
        <v>3586</v>
      </c>
      <c r="K18" s="68">
        <f t="shared" si="1"/>
        <v>100</v>
      </c>
    </row>
    <row r="19" spans="2:11" ht="15.75" thickTop="1"/>
    <row r="21" spans="2:11" ht="409.6">
      <c r="B21" s="77" t="s">
        <v>55</v>
      </c>
      <c r="C21" s="77" t="s">
        <v>60</v>
      </c>
    </row>
  </sheetData>
  <mergeCells count="7">
    <mergeCell ref="B15:B16"/>
    <mergeCell ref="B18:C18"/>
    <mergeCell ref="B3:K3"/>
    <mergeCell ref="B5:B6"/>
    <mergeCell ref="B8:B9"/>
    <mergeCell ref="B10:B11"/>
    <mergeCell ref="B13:B1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1"/>
  <sheetViews>
    <sheetView workbookViewId="0">
      <selection activeCell="A3" sqref="A3:J3"/>
    </sheetView>
  </sheetViews>
  <sheetFormatPr baseColWidth="10" defaultRowHeight="15"/>
  <cols>
    <col min="1" max="1" width="16.140625" customWidth="1"/>
    <col min="2" max="2" width="19.5703125" customWidth="1"/>
    <col min="7" max="7" width="15" customWidth="1"/>
    <col min="10" max="10" width="7.42578125" customWidth="1"/>
  </cols>
  <sheetData>
    <row r="3" spans="1:10" ht="15.75" thickBot="1">
      <c r="A3" s="169" t="s">
        <v>67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27" thickTop="1" thickBot="1">
      <c r="A4" s="32" t="s">
        <v>0</v>
      </c>
      <c r="B4" s="32" t="s">
        <v>1</v>
      </c>
      <c r="C4" s="32" t="s">
        <v>2</v>
      </c>
      <c r="D4" s="32" t="s">
        <v>3</v>
      </c>
      <c r="E4" s="32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9</v>
      </c>
    </row>
    <row r="5" spans="1:10" ht="60" customHeight="1" thickTop="1" thickBot="1">
      <c r="A5" s="165" t="s">
        <v>57</v>
      </c>
      <c r="B5" s="88" t="s">
        <v>11</v>
      </c>
      <c r="C5" s="34">
        <v>1</v>
      </c>
      <c r="D5" s="35">
        <v>0</v>
      </c>
      <c r="E5" s="35">
        <v>1</v>
      </c>
      <c r="F5" s="35">
        <v>184</v>
      </c>
      <c r="G5" s="35">
        <v>3216</v>
      </c>
      <c r="H5" s="38">
        <v>0</v>
      </c>
      <c r="I5" s="35">
        <f t="shared" ref="I5:I17" si="0">SUM(C5:H5)</f>
        <v>3402</v>
      </c>
      <c r="J5" s="66">
        <f t="shared" ref="J5" si="1">I5/3586*100</f>
        <v>94.868934746235354</v>
      </c>
    </row>
    <row r="6" spans="1:10" ht="25.5" thickTop="1" thickBot="1">
      <c r="A6" s="165"/>
      <c r="B6" s="88" t="s">
        <v>12</v>
      </c>
      <c r="C6" s="34">
        <v>0</v>
      </c>
      <c r="D6" s="35">
        <v>0</v>
      </c>
      <c r="E6" s="35">
        <v>0</v>
      </c>
      <c r="F6" s="35">
        <v>12</v>
      </c>
      <c r="G6" s="35">
        <v>315</v>
      </c>
      <c r="H6" s="38">
        <v>0</v>
      </c>
      <c r="I6" s="35">
        <f t="shared" si="0"/>
        <v>327</v>
      </c>
      <c r="J6" s="66">
        <f t="shared" ref="J6:J17" si="2">I6/3823*100</f>
        <v>8.5534920219722732</v>
      </c>
    </row>
    <row r="7" spans="1:10" ht="37.5" thickTop="1" thickBot="1">
      <c r="A7" s="88" t="s">
        <v>48</v>
      </c>
      <c r="B7" s="43" t="s">
        <v>66</v>
      </c>
      <c r="C7" s="40">
        <v>1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1</v>
      </c>
      <c r="J7" s="66">
        <f t="shared" si="2"/>
        <v>2.6157467957101749E-2</v>
      </c>
    </row>
    <row r="8" spans="1:10" ht="67.5" customHeight="1" thickTop="1" thickBot="1">
      <c r="A8" s="89" t="s">
        <v>59</v>
      </c>
      <c r="B8" s="42" t="s">
        <v>16</v>
      </c>
      <c r="C8" s="40">
        <v>1</v>
      </c>
      <c r="D8" s="35">
        <v>0</v>
      </c>
      <c r="E8" s="38">
        <v>1</v>
      </c>
      <c r="F8" s="38">
        <v>0</v>
      </c>
      <c r="G8" s="38">
        <v>0</v>
      </c>
      <c r="H8" s="38">
        <v>0</v>
      </c>
      <c r="I8" s="35">
        <f t="shared" si="0"/>
        <v>2</v>
      </c>
      <c r="J8" s="66">
        <f t="shared" si="2"/>
        <v>5.2314935914203498E-2</v>
      </c>
    </row>
    <row r="9" spans="1:10" ht="37.5" thickTop="1" thickBot="1">
      <c r="A9" s="89" t="s">
        <v>13</v>
      </c>
      <c r="B9" s="43" t="s">
        <v>14</v>
      </c>
      <c r="C9" s="40">
        <f>1+2+3</f>
        <v>6</v>
      </c>
      <c r="D9" s="35">
        <v>0</v>
      </c>
      <c r="E9" s="38">
        <v>1</v>
      </c>
      <c r="F9" s="38">
        <v>0</v>
      </c>
      <c r="G9" s="38">
        <v>0</v>
      </c>
      <c r="H9" s="38">
        <v>0</v>
      </c>
      <c r="I9" s="35">
        <f t="shared" si="0"/>
        <v>7</v>
      </c>
      <c r="J9" s="66">
        <f t="shared" si="2"/>
        <v>0.18310227569971227</v>
      </c>
    </row>
    <row r="10" spans="1:10" ht="16.5" thickTop="1" thickBot="1">
      <c r="A10" s="43" t="s">
        <v>22</v>
      </c>
      <c r="B10" s="43" t="s">
        <v>23</v>
      </c>
      <c r="C10" s="40">
        <v>2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35">
        <f t="shared" si="0"/>
        <v>2</v>
      </c>
      <c r="J10" s="66">
        <f t="shared" si="2"/>
        <v>5.2314935914203498E-2</v>
      </c>
    </row>
    <row r="11" spans="1:10" ht="16.5" thickTop="1" thickBot="1">
      <c r="A11" s="159" t="s">
        <v>19</v>
      </c>
      <c r="B11" s="43" t="s">
        <v>20</v>
      </c>
      <c r="C11" s="40">
        <v>37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35">
        <f t="shared" si="0"/>
        <v>39</v>
      </c>
      <c r="J11" s="66">
        <f t="shared" si="2"/>
        <v>1.0201412503269682</v>
      </c>
    </row>
    <row r="12" spans="1:10" ht="16.5" thickTop="1" thickBot="1">
      <c r="A12" s="165"/>
      <c r="B12" s="43" t="s">
        <v>21</v>
      </c>
      <c r="C12" s="34">
        <f>3+6</f>
        <v>9</v>
      </c>
      <c r="D12" s="35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9</v>
      </c>
      <c r="J12" s="66">
        <f t="shared" si="2"/>
        <v>0.23541721161391577</v>
      </c>
    </row>
    <row r="13" spans="1:10" ht="16.5" thickTop="1" thickBot="1">
      <c r="A13" s="160"/>
      <c r="B13" s="43" t="s">
        <v>45</v>
      </c>
      <c r="C13" s="34">
        <v>1</v>
      </c>
      <c r="D13" s="35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1</v>
      </c>
      <c r="J13" s="66">
        <f t="shared" si="2"/>
        <v>2.6157467957101749E-2</v>
      </c>
    </row>
    <row r="14" spans="1:10" ht="16.5" thickTop="1" thickBot="1">
      <c r="A14" s="159" t="s">
        <v>26</v>
      </c>
      <c r="B14" s="43" t="s">
        <v>64</v>
      </c>
      <c r="C14" s="40">
        <v>2</v>
      </c>
      <c r="D14" s="35">
        <v>0</v>
      </c>
      <c r="E14" s="38">
        <v>0</v>
      </c>
      <c r="F14" s="38">
        <v>0</v>
      </c>
      <c r="G14" s="38">
        <v>0</v>
      </c>
      <c r="H14" s="38">
        <v>0</v>
      </c>
      <c r="I14" s="35">
        <f t="shared" si="0"/>
        <v>2</v>
      </c>
      <c r="J14" s="66">
        <f t="shared" si="2"/>
        <v>5.2314935914203498E-2</v>
      </c>
    </row>
    <row r="15" spans="1:10" ht="16.5" thickTop="1" thickBot="1">
      <c r="A15" s="165"/>
      <c r="B15" s="43" t="s">
        <v>28</v>
      </c>
      <c r="C15" s="34">
        <f>19+1</f>
        <v>20</v>
      </c>
      <c r="D15" s="38">
        <v>2</v>
      </c>
      <c r="E15" s="38">
        <v>1</v>
      </c>
      <c r="F15" s="38">
        <v>0</v>
      </c>
      <c r="G15" s="38">
        <v>0</v>
      </c>
      <c r="H15" s="38">
        <v>0</v>
      </c>
      <c r="I15" s="35">
        <f t="shared" si="0"/>
        <v>23</v>
      </c>
      <c r="J15" s="66">
        <f t="shared" si="2"/>
        <v>0.60162176301334025</v>
      </c>
    </row>
    <row r="16" spans="1:10" ht="25.5" thickTop="1" thickBot="1">
      <c r="A16" s="165"/>
      <c r="B16" s="43" t="s">
        <v>27</v>
      </c>
      <c r="C16" s="40">
        <v>0</v>
      </c>
      <c r="D16" s="38">
        <v>0</v>
      </c>
      <c r="E16" s="38">
        <v>0</v>
      </c>
      <c r="F16" s="38">
        <v>1</v>
      </c>
      <c r="G16" s="38">
        <v>5</v>
      </c>
      <c r="H16" s="38">
        <v>0</v>
      </c>
      <c r="I16" s="35">
        <f t="shared" si="0"/>
        <v>6</v>
      </c>
      <c r="J16" s="66">
        <f t="shared" si="2"/>
        <v>0.15694480774261052</v>
      </c>
    </row>
    <row r="17" spans="1:10" ht="37.5" thickTop="1" thickBot="1">
      <c r="A17" s="43" t="s">
        <v>31</v>
      </c>
      <c r="B17" s="43" t="s">
        <v>32</v>
      </c>
      <c r="C17" s="40">
        <v>1</v>
      </c>
      <c r="D17" s="38">
        <v>0</v>
      </c>
      <c r="E17" s="38">
        <v>0</v>
      </c>
      <c r="F17" s="38">
        <v>0</v>
      </c>
      <c r="G17" s="38">
        <v>0</v>
      </c>
      <c r="H17" s="38">
        <v>1</v>
      </c>
      <c r="I17" s="35">
        <f t="shared" si="0"/>
        <v>2</v>
      </c>
      <c r="J17" s="66">
        <f t="shared" si="2"/>
        <v>5.2314935914203498E-2</v>
      </c>
    </row>
    <row r="18" spans="1:10" ht="16.5" thickTop="1" thickBot="1">
      <c r="A18" s="161" t="s">
        <v>38</v>
      </c>
      <c r="B18" s="161"/>
      <c r="C18" s="38">
        <f t="shared" ref="C18:H18" si="3">SUM(C5:C17)</f>
        <v>81</v>
      </c>
      <c r="D18" s="38">
        <f t="shared" si="3"/>
        <v>3</v>
      </c>
      <c r="E18" s="38">
        <f t="shared" si="3"/>
        <v>5</v>
      </c>
      <c r="F18" s="38">
        <f t="shared" si="3"/>
        <v>197</v>
      </c>
      <c r="G18" s="38">
        <f t="shared" si="3"/>
        <v>3536</v>
      </c>
      <c r="H18" s="38">
        <f t="shared" si="3"/>
        <v>1</v>
      </c>
      <c r="I18" s="38">
        <f>SUM(C5:H17)</f>
        <v>3823</v>
      </c>
      <c r="J18" s="68">
        <f>I18/3823*100</f>
        <v>100</v>
      </c>
    </row>
    <row r="19" spans="1:10" ht="15.75" thickTop="1"/>
    <row r="21" spans="1:10">
      <c r="A21" s="77" t="s">
        <v>55</v>
      </c>
      <c r="B21" s="77" t="s">
        <v>60</v>
      </c>
    </row>
  </sheetData>
  <mergeCells count="5">
    <mergeCell ref="A5:A6"/>
    <mergeCell ref="A11:A13"/>
    <mergeCell ref="A14:A16"/>
    <mergeCell ref="A18:B18"/>
    <mergeCell ref="A3:J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19" sqref="A19:B19"/>
    </sheetView>
  </sheetViews>
  <sheetFormatPr baseColWidth="10" defaultRowHeight="15"/>
  <cols>
    <col min="1" max="1" width="15.140625" customWidth="1"/>
    <col min="2" max="2" width="21.7109375" customWidth="1"/>
    <col min="7" max="7" width="13.28515625" customWidth="1"/>
    <col min="10" max="10" width="8.85546875" customWidth="1"/>
  </cols>
  <sheetData>
    <row r="2" spans="1:10" ht="15.75" thickBot="1"/>
    <row r="3" spans="1:10" ht="27" thickTop="1" thickBo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0.5" customHeight="1" thickTop="1" thickBot="1">
      <c r="A4" s="165" t="s">
        <v>57</v>
      </c>
      <c r="B4" s="90" t="s">
        <v>11</v>
      </c>
      <c r="C4" s="34">
        <v>0</v>
      </c>
      <c r="D4" s="34">
        <v>0</v>
      </c>
      <c r="E4" s="34">
        <v>0</v>
      </c>
      <c r="F4" s="35">
        <v>157</v>
      </c>
      <c r="G4" s="35">
        <v>3404</v>
      </c>
      <c r="H4" s="35">
        <v>0</v>
      </c>
      <c r="I4" s="35">
        <f t="shared" ref="I4:I15" si="0">SUM(C4:H4)</f>
        <v>3561</v>
      </c>
      <c r="J4" s="66">
        <f t="shared" ref="J4:J15" si="1">I4/3938*100</f>
        <v>90.426612493651604</v>
      </c>
    </row>
    <row r="5" spans="1:10" ht="25.5" thickTop="1" thickBot="1">
      <c r="A5" s="165"/>
      <c r="B5" s="90" t="s">
        <v>12</v>
      </c>
      <c r="C5" s="34">
        <v>1</v>
      </c>
      <c r="D5" s="34">
        <v>0</v>
      </c>
      <c r="E5" s="35">
        <v>1</v>
      </c>
      <c r="F5" s="35">
        <v>10</v>
      </c>
      <c r="G5" s="35">
        <v>294</v>
      </c>
      <c r="H5" s="35">
        <v>0</v>
      </c>
      <c r="I5" s="35">
        <f t="shared" si="0"/>
        <v>306</v>
      </c>
      <c r="J5" s="66">
        <f t="shared" si="1"/>
        <v>7.7704418486541389</v>
      </c>
    </row>
    <row r="6" spans="1:10" ht="52.5" customHeight="1" thickTop="1" thickBot="1">
      <c r="A6" s="159" t="s">
        <v>59</v>
      </c>
      <c r="B6" s="43" t="s">
        <v>40</v>
      </c>
      <c r="C6" s="40">
        <v>0</v>
      </c>
      <c r="D6" s="34">
        <v>0</v>
      </c>
      <c r="E6" s="38">
        <v>0</v>
      </c>
      <c r="F6" s="38">
        <v>0</v>
      </c>
      <c r="G6" s="35">
        <v>3</v>
      </c>
      <c r="H6" s="35">
        <v>0</v>
      </c>
      <c r="I6" s="35">
        <f t="shared" si="0"/>
        <v>3</v>
      </c>
      <c r="J6" s="66">
        <f t="shared" si="1"/>
        <v>7.6180802437785688E-2</v>
      </c>
    </row>
    <row r="7" spans="1:10" ht="54" customHeight="1" thickTop="1" thickBot="1">
      <c r="A7" s="160"/>
      <c r="B7" s="42" t="s">
        <v>16</v>
      </c>
      <c r="C7" s="40">
        <v>3</v>
      </c>
      <c r="D7" s="34">
        <v>0</v>
      </c>
      <c r="E7" s="38">
        <v>1</v>
      </c>
      <c r="F7" s="38">
        <v>0</v>
      </c>
      <c r="G7" s="38">
        <v>0</v>
      </c>
      <c r="H7" s="35">
        <v>0</v>
      </c>
      <c r="I7" s="35">
        <f t="shared" si="0"/>
        <v>4</v>
      </c>
      <c r="J7" s="66">
        <f t="shared" si="1"/>
        <v>0.10157440325038089</v>
      </c>
    </row>
    <row r="8" spans="1:10" ht="37.5" thickTop="1" thickBot="1">
      <c r="A8" s="91" t="s">
        <v>13</v>
      </c>
      <c r="B8" s="43" t="s">
        <v>14</v>
      </c>
      <c r="C8" s="40">
        <v>5</v>
      </c>
      <c r="D8" s="34">
        <v>0</v>
      </c>
      <c r="E8" s="38">
        <v>0</v>
      </c>
      <c r="F8" s="38">
        <v>0</v>
      </c>
      <c r="G8" s="38">
        <v>0</v>
      </c>
      <c r="H8" s="35">
        <v>0</v>
      </c>
      <c r="I8" s="35">
        <f t="shared" si="0"/>
        <v>5</v>
      </c>
      <c r="J8" s="66">
        <f t="shared" si="1"/>
        <v>0.12696800406297612</v>
      </c>
    </row>
    <row r="9" spans="1:10" ht="16.5" thickTop="1" thickBot="1">
      <c r="A9" s="43" t="s">
        <v>22</v>
      </c>
      <c r="B9" s="43" t="s">
        <v>23</v>
      </c>
      <c r="C9" s="40">
        <v>2</v>
      </c>
      <c r="D9" s="34">
        <v>0</v>
      </c>
      <c r="E9" s="38">
        <v>1</v>
      </c>
      <c r="F9" s="38">
        <v>0</v>
      </c>
      <c r="G9" s="38">
        <v>0</v>
      </c>
      <c r="H9" s="35">
        <v>0</v>
      </c>
      <c r="I9" s="35">
        <f t="shared" si="0"/>
        <v>3</v>
      </c>
      <c r="J9" s="66">
        <f t="shared" si="1"/>
        <v>7.6180802437785688E-2</v>
      </c>
    </row>
    <row r="10" spans="1:10" ht="44.25" customHeight="1" thickTop="1" thickBot="1">
      <c r="A10" s="43" t="s">
        <v>24</v>
      </c>
      <c r="B10" s="43" t="s">
        <v>68</v>
      </c>
      <c r="C10" s="40">
        <v>0</v>
      </c>
      <c r="D10" s="34">
        <v>0</v>
      </c>
      <c r="E10" s="38">
        <v>2</v>
      </c>
      <c r="F10" s="38">
        <v>0</v>
      </c>
      <c r="G10" s="38">
        <v>0</v>
      </c>
      <c r="H10" s="35">
        <v>0</v>
      </c>
      <c r="I10" s="35">
        <f t="shared" si="0"/>
        <v>2</v>
      </c>
      <c r="J10" s="66">
        <f t="shared" si="1"/>
        <v>5.0787201625190445E-2</v>
      </c>
    </row>
    <row r="11" spans="1:10" ht="16.5" thickTop="1" thickBot="1">
      <c r="A11" s="159" t="s">
        <v>19</v>
      </c>
      <c r="B11" s="43" t="s">
        <v>20</v>
      </c>
      <c r="C11" s="40">
        <v>18</v>
      </c>
      <c r="D11" s="34">
        <v>0</v>
      </c>
      <c r="E11" s="38">
        <v>1</v>
      </c>
      <c r="F11" s="38">
        <v>0</v>
      </c>
      <c r="G11" s="38">
        <v>0</v>
      </c>
      <c r="H11" s="35">
        <v>0</v>
      </c>
      <c r="I11" s="35">
        <f t="shared" si="0"/>
        <v>19</v>
      </c>
      <c r="J11" s="66">
        <f t="shared" si="1"/>
        <v>0.4824784154393093</v>
      </c>
    </row>
    <row r="12" spans="1:10" ht="16.5" thickTop="1" thickBot="1">
      <c r="A12" s="160"/>
      <c r="B12" s="43" t="s">
        <v>21</v>
      </c>
      <c r="C12" s="34">
        <v>4</v>
      </c>
      <c r="D12" s="34">
        <v>0</v>
      </c>
      <c r="E12" s="35">
        <v>0</v>
      </c>
      <c r="F12" s="38">
        <v>0</v>
      </c>
      <c r="G12" s="38">
        <v>0</v>
      </c>
      <c r="H12" s="35">
        <v>0</v>
      </c>
      <c r="I12" s="35">
        <f t="shared" si="0"/>
        <v>4</v>
      </c>
      <c r="J12" s="66">
        <f t="shared" si="1"/>
        <v>0.10157440325038089</v>
      </c>
    </row>
    <row r="13" spans="1:10" ht="16.5" thickTop="1" thickBot="1">
      <c r="A13" s="159" t="s">
        <v>26</v>
      </c>
      <c r="B13" s="43" t="s">
        <v>28</v>
      </c>
      <c r="C13" s="34">
        <f>19+1+1+1</f>
        <v>22</v>
      </c>
      <c r="D13" s="34">
        <v>0</v>
      </c>
      <c r="E13" s="38">
        <v>1</v>
      </c>
      <c r="F13" s="38">
        <v>0</v>
      </c>
      <c r="G13" s="38">
        <v>0</v>
      </c>
      <c r="H13" s="35">
        <v>0</v>
      </c>
      <c r="I13" s="35">
        <f t="shared" si="0"/>
        <v>23</v>
      </c>
      <c r="J13" s="66">
        <f t="shared" si="1"/>
        <v>0.58405281868969017</v>
      </c>
    </row>
    <row r="14" spans="1:10" ht="25.5" thickTop="1" thickBot="1">
      <c r="A14" s="160"/>
      <c r="B14" s="43" t="s">
        <v>27</v>
      </c>
      <c r="C14" s="40">
        <v>0</v>
      </c>
      <c r="D14" s="34">
        <v>0</v>
      </c>
      <c r="E14" s="38">
        <v>0</v>
      </c>
      <c r="F14" s="38">
        <v>3</v>
      </c>
      <c r="G14" s="38">
        <v>4</v>
      </c>
      <c r="H14" s="35">
        <v>0</v>
      </c>
      <c r="I14" s="35">
        <f t="shared" si="0"/>
        <v>7</v>
      </c>
      <c r="J14" s="66">
        <f t="shared" si="1"/>
        <v>0.17775520568816658</v>
      </c>
    </row>
    <row r="15" spans="1:10" ht="38.25" customHeight="1" thickTop="1" thickBot="1">
      <c r="A15" s="43" t="s">
        <v>31</v>
      </c>
      <c r="B15" s="43" t="s">
        <v>32</v>
      </c>
      <c r="C15" s="40">
        <v>0</v>
      </c>
      <c r="D15" s="38">
        <v>1</v>
      </c>
      <c r="E15" s="38">
        <v>0</v>
      </c>
      <c r="F15" s="38">
        <v>0</v>
      </c>
      <c r="G15" s="38">
        <v>0</v>
      </c>
      <c r="H15" s="35">
        <v>0</v>
      </c>
      <c r="I15" s="35">
        <f t="shared" si="0"/>
        <v>1</v>
      </c>
      <c r="J15" s="66">
        <f t="shared" si="1"/>
        <v>2.5393600812595223E-2</v>
      </c>
    </row>
    <row r="16" spans="1:10" ht="16.5" thickTop="1" thickBot="1">
      <c r="A16" s="161" t="s">
        <v>38</v>
      </c>
      <c r="B16" s="161"/>
      <c r="C16" s="38">
        <f t="shared" ref="C16:H16" si="2">SUM(C4:C15)</f>
        <v>55</v>
      </c>
      <c r="D16" s="38">
        <f t="shared" si="2"/>
        <v>1</v>
      </c>
      <c r="E16" s="38">
        <f t="shared" si="2"/>
        <v>7</v>
      </c>
      <c r="F16" s="38">
        <f t="shared" si="2"/>
        <v>170</v>
      </c>
      <c r="G16" s="38">
        <f t="shared" si="2"/>
        <v>3705</v>
      </c>
      <c r="H16" s="38">
        <f t="shared" si="2"/>
        <v>0</v>
      </c>
      <c r="I16" s="38">
        <f>SUM(C4:H15)</f>
        <v>3938</v>
      </c>
      <c r="J16" s="68">
        <f>I16/3938*100</f>
        <v>100</v>
      </c>
    </row>
    <row r="17" spans="1:10" ht="15.75" thickTop="1">
      <c r="C17" s="94"/>
      <c r="D17" s="94"/>
      <c r="E17" s="94"/>
      <c r="F17" s="94"/>
      <c r="G17" s="94"/>
      <c r="H17" s="94"/>
      <c r="I17" s="94"/>
      <c r="J17" s="94"/>
    </row>
    <row r="19" spans="1:10">
      <c r="A19" s="77" t="s">
        <v>55</v>
      </c>
      <c r="B19" s="77" t="s">
        <v>60</v>
      </c>
    </row>
  </sheetData>
  <mergeCells count="5">
    <mergeCell ref="A4:A5"/>
    <mergeCell ref="A6:A7"/>
    <mergeCell ref="A11:A12"/>
    <mergeCell ref="A13:A14"/>
    <mergeCell ref="A16:B16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workbookViewId="0">
      <selection activeCell="A2" sqref="A2:J2"/>
    </sheetView>
  </sheetViews>
  <sheetFormatPr baseColWidth="10" defaultRowHeight="15"/>
  <cols>
    <col min="1" max="1" width="16.28515625" customWidth="1"/>
    <col min="2" max="2" width="16.5703125" customWidth="1"/>
    <col min="7" max="7" width="14.85546875" customWidth="1"/>
    <col min="10" max="10" width="9" customWidth="1"/>
  </cols>
  <sheetData>
    <row r="2" spans="1:10" ht="15.75" thickBot="1">
      <c r="A2" s="169" t="s">
        <v>71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ht="27" thickTop="1" thickBo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44.25" customHeight="1" thickTop="1" thickBot="1">
      <c r="A4" s="165" t="s">
        <v>57</v>
      </c>
      <c r="B4" s="92" t="s">
        <v>11</v>
      </c>
      <c r="C4" s="34">
        <v>0</v>
      </c>
      <c r="D4" s="35">
        <v>0</v>
      </c>
      <c r="E4" s="35">
        <v>0</v>
      </c>
      <c r="F4" s="35">
        <v>217</v>
      </c>
      <c r="G4" s="35">
        <v>3407</v>
      </c>
      <c r="H4" s="35">
        <v>0</v>
      </c>
      <c r="I4" s="35">
        <f t="shared" ref="I4:I15" si="0">SUM(C4:H4)</f>
        <v>3624</v>
      </c>
      <c r="J4" s="66">
        <f t="shared" ref="J4:J15" si="1">I4/4027*100</f>
        <v>89.992550285572378</v>
      </c>
    </row>
    <row r="5" spans="1:10" ht="46.5" customHeight="1" thickTop="1" thickBot="1">
      <c r="A5" s="165"/>
      <c r="B5" s="92" t="s">
        <v>12</v>
      </c>
      <c r="C5" s="34">
        <v>0</v>
      </c>
      <c r="D5" s="35">
        <v>0</v>
      </c>
      <c r="E5" s="35">
        <v>0</v>
      </c>
      <c r="F5" s="35">
        <v>7</v>
      </c>
      <c r="G5" s="35">
        <v>334</v>
      </c>
      <c r="H5" s="35">
        <v>0</v>
      </c>
      <c r="I5" s="35">
        <f t="shared" si="0"/>
        <v>341</v>
      </c>
      <c r="J5" s="66">
        <f t="shared" si="1"/>
        <v>8.4678420660541356</v>
      </c>
    </row>
    <row r="6" spans="1:10" ht="72" customHeight="1" thickTop="1" thickBot="1">
      <c r="A6" s="93" t="s">
        <v>59</v>
      </c>
      <c r="B6" s="43" t="s">
        <v>40</v>
      </c>
      <c r="C6" s="34">
        <v>0</v>
      </c>
      <c r="D6" s="35">
        <v>0</v>
      </c>
      <c r="E6" s="35">
        <v>0</v>
      </c>
      <c r="F6" s="38">
        <v>0</v>
      </c>
      <c r="G6" s="35">
        <v>2</v>
      </c>
      <c r="H6" s="38">
        <v>0</v>
      </c>
      <c r="I6" s="35">
        <f t="shared" si="0"/>
        <v>2</v>
      </c>
      <c r="J6" s="66">
        <f t="shared" si="1"/>
        <v>4.9664762850757389E-2</v>
      </c>
    </row>
    <row r="7" spans="1:10" ht="58.5" customHeight="1" thickTop="1" thickBot="1">
      <c r="A7" s="93" t="s">
        <v>13</v>
      </c>
      <c r="B7" s="43" t="s">
        <v>14</v>
      </c>
      <c r="C7" s="40">
        <f>1+8</f>
        <v>9</v>
      </c>
      <c r="D7" s="35">
        <v>0</v>
      </c>
      <c r="E7" s="35">
        <v>0</v>
      </c>
      <c r="F7" s="38">
        <v>0</v>
      </c>
      <c r="G7" s="38">
        <v>0</v>
      </c>
      <c r="H7" s="38">
        <v>0</v>
      </c>
      <c r="I7" s="35">
        <f t="shared" si="0"/>
        <v>9</v>
      </c>
      <c r="J7" s="66">
        <f t="shared" si="1"/>
        <v>0.22349143282840825</v>
      </c>
    </row>
    <row r="8" spans="1:10" ht="30" customHeight="1" thickTop="1" thickBot="1">
      <c r="A8" s="43" t="s">
        <v>22</v>
      </c>
      <c r="B8" s="43" t="s">
        <v>23</v>
      </c>
      <c r="C8" s="40">
        <v>4</v>
      </c>
      <c r="D8" s="35">
        <v>0</v>
      </c>
      <c r="E8" s="35">
        <v>0</v>
      </c>
      <c r="F8" s="38">
        <v>0</v>
      </c>
      <c r="G8" s="38">
        <v>0</v>
      </c>
      <c r="H8" s="38">
        <v>0</v>
      </c>
      <c r="I8" s="35">
        <f t="shared" si="0"/>
        <v>4</v>
      </c>
      <c r="J8" s="66">
        <f t="shared" si="1"/>
        <v>9.9329525701514779E-2</v>
      </c>
    </row>
    <row r="9" spans="1:10" ht="30" customHeight="1" thickTop="1" thickBot="1">
      <c r="A9" s="43" t="s">
        <v>17</v>
      </c>
      <c r="B9" s="43" t="s">
        <v>69</v>
      </c>
      <c r="C9" s="40">
        <v>1</v>
      </c>
      <c r="D9" s="35">
        <v>0</v>
      </c>
      <c r="E9" s="35">
        <v>0</v>
      </c>
      <c r="F9" s="38">
        <v>0</v>
      </c>
      <c r="G9" s="38">
        <v>0</v>
      </c>
      <c r="H9" s="38">
        <v>0</v>
      </c>
      <c r="I9" s="35">
        <f t="shared" si="0"/>
        <v>1</v>
      </c>
      <c r="J9" s="66">
        <f t="shared" si="1"/>
        <v>2.4832381425378695E-2</v>
      </c>
    </row>
    <row r="10" spans="1:10" ht="30" customHeight="1" thickTop="1" thickBot="1">
      <c r="A10" s="159" t="s">
        <v>19</v>
      </c>
      <c r="B10" s="43" t="s">
        <v>20</v>
      </c>
      <c r="C10" s="40">
        <v>12</v>
      </c>
      <c r="D10" s="35">
        <v>0</v>
      </c>
      <c r="E10" s="38">
        <v>2</v>
      </c>
      <c r="F10" s="38">
        <v>0</v>
      </c>
      <c r="G10" s="38">
        <v>0</v>
      </c>
      <c r="H10" s="38">
        <v>0</v>
      </c>
      <c r="I10" s="35">
        <f t="shared" si="0"/>
        <v>14</v>
      </c>
      <c r="J10" s="66">
        <f t="shared" si="1"/>
        <v>0.34765333995530168</v>
      </c>
    </row>
    <row r="11" spans="1:10" ht="30" customHeight="1" thickTop="1" thickBot="1">
      <c r="A11" s="160"/>
      <c r="B11" s="43" t="s">
        <v>21</v>
      </c>
      <c r="C11" s="34">
        <f>3+1</f>
        <v>4</v>
      </c>
      <c r="D11" s="35">
        <v>0</v>
      </c>
      <c r="E11" s="35">
        <v>0</v>
      </c>
      <c r="F11" s="38">
        <v>0</v>
      </c>
      <c r="G11" s="38">
        <v>0</v>
      </c>
      <c r="H11" s="38">
        <v>0</v>
      </c>
      <c r="I11" s="35">
        <f t="shared" si="0"/>
        <v>4</v>
      </c>
      <c r="J11" s="66">
        <f t="shared" si="1"/>
        <v>9.9329525701514779E-2</v>
      </c>
    </row>
    <row r="12" spans="1:10" ht="30" customHeight="1" thickTop="1" thickBot="1">
      <c r="A12" s="159" t="s">
        <v>26</v>
      </c>
      <c r="B12" s="43" t="s">
        <v>28</v>
      </c>
      <c r="C12" s="34">
        <f>17+1</f>
        <v>18</v>
      </c>
      <c r="D12" s="35">
        <v>0</v>
      </c>
      <c r="E12" s="35">
        <v>0</v>
      </c>
      <c r="F12" s="35">
        <v>0</v>
      </c>
      <c r="G12" s="38">
        <v>0</v>
      </c>
      <c r="H12" s="38">
        <v>2</v>
      </c>
      <c r="I12" s="35">
        <f t="shared" si="0"/>
        <v>20</v>
      </c>
      <c r="J12" s="66">
        <f t="shared" si="1"/>
        <v>0.49664762850757393</v>
      </c>
    </row>
    <row r="13" spans="1:10" ht="30" customHeight="1" thickTop="1" thickBot="1">
      <c r="A13" s="165"/>
      <c r="B13" s="43" t="s">
        <v>70</v>
      </c>
      <c r="C13" s="34">
        <v>1</v>
      </c>
      <c r="D13" s="35">
        <v>0</v>
      </c>
      <c r="E13" s="35">
        <v>0</v>
      </c>
      <c r="F13" s="35">
        <v>0</v>
      </c>
      <c r="G13" s="38">
        <v>0</v>
      </c>
      <c r="H13" s="38">
        <v>0</v>
      </c>
      <c r="I13" s="35">
        <f t="shared" si="0"/>
        <v>1</v>
      </c>
      <c r="J13" s="66">
        <f t="shared" si="1"/>
        <v>2.4832381425378695E-2</v>
      </c>
    </row>
    <row r="14" spans="1:10" ht="30" customHeight="1" thickTop="1" thickBot="1">
      <c r="A14" s="160"/>
      <c r="B14" s="43" t="s">
        <v>27</v>
      </c>
      <c r="C14" s="40">
        <v>0</v>
      </c>
      <c r="D14" s="35">
        <v>0</v>
      </c>
      <c r="E14" s="35">
        <v>0</v>
      </c>
      <c r="F14" s="35">
        <v>0</v>
      </c>
      <c r="G14" s="38">
        <v>4</v>
      </c>
      <c r="H14" s="35">
        <v>0</v>
      </c>
      <c r="I14" s="35">
        <f t="shared" si="0"/>
        <v>4</v>
      </c>
      <c r="J14" s="66">
        <f t="shared" si="1"/>
        <v>9.9329525701514779E-2</v>
      </c>
    </row>
    <row r="15" spans="1:10" ht="30" customHeight="1" thickTop="1" thickBot="1">
      <c r="A15" s="43" t="s">
        <v>31</v>
      </c>
      <c r="B15" s="43" t="s">
        <v>32</v>
      </c>
      <c r="C15" s="40">
        <v>3</v>
      </c>
      <c r="D15" s="35">
        <v>0</v>
      </c>
      <c r="E15" s="35">
        <v>0</v>
      </c>
      <c r="F15" s="35">
        <v>0</v>
      </c>
      <c r="G15" s="38">
        <v>0</v>
      </c>
      <c r="H15" s="38">
        <v>0</v>
      </c>
      <c r="I15" s="35">
        <f t="shared" si="0"/>
        <v>3</v>
      </c>
      <c r="J15" s="66">
        <f t="shared" si="1"/>
        <v>7.4497144276136087E-2</v>
      </c>
    </row>
    <row r="16" spans="1:10" ht="16.5" thickTop="1" thickBot="1">
      <c r="A16" s="161" t="s">
        <v>38</v>
      </c>
      <c r="B16" s="161"/>
      <c r="C16" s="38">
        <f t="shared" ref="C16:H16" si="2">SUM(C4:C15)</f>
        <v>52</v>
      </c>
      <c r="D16" s="38">
        <f t="shared" si="2"/>
        <v>0</v>
      </c>
      <c r="E16" s="38">
        <f t="shared" si="2"/>
        <v>2</v>
      </c>
      <c r="F16" s="38">
        <f t="shared" si="2"/>
        <v>224</v>
      </c>
      <c r="G16" s="38">
        <f t="shared" si="2"/>
        <v>3747</v>
      </c>
      <c r="H16" s="38">
        <f t="shared" si="2"/>
        <v>2</v>
      </c>
      <c r="I16" s="38">
        <f>SUM(C4:H15)</f>
        <v>4027</v>
      </c>
      <c r="J16" s="68">
        <f>I16/4027*100</f>
        <v>100</v>
      </c>
    </row>
    <row r="17" spans="1:2" ht="15.75" thickTop="1"/>
    <row r="19" spans="1:2" ht="409.6">
      <c r="A19" s="77" t="s">
        <v>55</v>
      </c>
      <c r="B19" s="77" t="s">
        <v>60</v>
      </c>
    </row>
  </sheetData>
  <mergeCells count="5">
    <mergeCell ref="A4:A5"/>
    <mergeCell ref="A10:A11"/>
    <mergeCell ref="A12:A14"/>
    <mergeCell ref="A16:B16"/>
    <mergeCell ref="A2:J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K3" sqref="K3"/>
    </sheetView>
  </sheetViews>
  <sheetFormatPr baseColWidth="10" defaultRowHeight="15"/>
  <cols>
    <col min="2" max="2" width="13.28515625" customWidth="1"/>
    <col min="3" max="3" width="15" customWidth="1"/>
    <col min="8" max="8" width="14" customWidth="1"/>
  </cols>
  <sheetData>
    <row r="1" spans="2:11" ht="15.75" thickBot="1"/>
    <row r="2" spans="2:11" ht="27" thickTop="1" thickBo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25.5" thickTop="1" thickBot="1">
      <c r="B3" s="7" t="s">
        <v>34</v>
      </c>
      <c r="C3" s="8" t="s">
        <v>35</v>
      </c>
      <c r="D3" s="9">
        <v>0</v>
      </c>
      <c r="E3" s="9">
        <v>0</v>
      </c>
      <c r="F3" s="9">
        <v>0</v>
      </c>
      <c r="G3" s="10">
        <v>0</v>
      </c>
      <c r="H3" s="10">
        <v>5</v>
      </c>
      <c r="I3" s="9">
        <v>0</v>
      </c>
      <c r="J3" s="11">
        <v>5</v>
      </c>
      <c r="K3" s="5">
        <v>0.23</v>
      </c>
    </row>
    <row r="4" spans="2:11" ht="37.5" thickTop="1" thickBot="1">
      <c r="B4" s="147" t="s">
        <v>10</v>
      </c>
      <c r="C4" s="13" t="s">
        <v>11</v>
      </c>
      <c r="D4" s="9">
        <v>0</v>
      </c>
      <c r="E4" s="9">
        <v>0</v>
      </c>
      <c r="F4" s="9">
        <v>0</v>
      </c>
      <c r="G4" s="14">
        <v>259</v>
      </c>
      <c r="H4" s="14">
        <v>1684</v>
      </c>
      <c r="I4" s="9">
        <v>0</v>
      </c>
      <c r="J4" s="11">
        <v>1943</v>
      </c>
      <c r="K4" s="5">
        <v>90.16</v>
      </c>
    </row>
    <row r="5" spans="2:11" ht="25.5" thickTop="1" thickBot="1">
      <c r="B5" s="148"/>
      <c r="C5" s="13" t="s">
        <v>12</v>
      </c>
      <c r="D5" s="9">
        <v>0</v>
      </c>
      <c r="E5" s="9">
        <v>0</v>
      </c>
      <c r="F5" s="9">
        <v>0</v>
      </c>
      <c r="G5" s="14">
        <v>44</v>
      </c>
      <c r="H5" s="14">
        <v>122</v>
      </c>
      <c r="I5" s="9">
        <v>0</v>
      </c>
      <c r="J5" s="11">
        <v>166</v>
      </c>
      <c r="K5" s="5">
        <v>7.7</v>
      </c>
    </row>
    <row r="6" spans="2:11" ht="37.5" thickTop="1" thickBot="1">
      <c r="B6" s="147" t="s">
        <v>13</v>
      </c>
      <c r="C6" s="13" t="s">
        <v>36</v>
      </c>
      <c r="D6" s="14">
        <v>3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11">
        <v>3</v>
      </c>
      <c r="K6" s="5">
        <v>0.14000000000000001</v>
      </c>
    </row>
    <row r="7" spans="2:11" ht="37.5" thickTop="1" thickBot="1">
      <c r="B7" s="149"/>
      <c r="C7" s="13" t="s">
        <v>14</v>
      </c>
      <c r="D7" s="10">
        <v>8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11">
        <v>8</v>
      </c>
      <c r="K7" s="5">
        <v>0.37</v>
      </c>
    </row>
    <row r="8" spans="2:11" ht="37.5" thickTop="1" thickBot="1">
      <c r="B8" s="7" t="s">
        <v>17</v>
      </c>
      <c r="C8" s="13" t="s">
        <v>18</v>
      </c>
      <c r="D8" s="10">
        <v>1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11">
        <v>1</v>
      </c>
      <c r="K8" s="5">
        <v>0.05</v>
      </c>
    </row>
    <row r="9" spans="2:11" ht="16.5" thickTop="1" thickBot="1">
      <c r="B9" s="147" t="s">
        <v>19</v>
      </c>
      <c r="C9" s="13" t="s">
        <v>20</v>
      </c>
      <c r="D9" s="10">
        <v>5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11">
        <v>5</v>
      </c>
      <c r="K9" s="5">
        <v>0.23</v>
      </c>
    </row>
    <row r="10" spans="2:11" ht="16.5" thickTop="1" thickBot="1">
      <c r="B10" s="148"/>
      <c r="C10" s="13" t="s">
        <v>21</v>
      </c>
      <c r="D10" s="10">
        <v>11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11">
        <v>11</v>
      </c>
      <c r="K10" s="5">
        <v>0.51</v>
      </c>
    </row>
    <row r="11" spans="2:11" ht="25.5" thickTop="1" thickBot="1">
      <c r="B11" s="147" t="s">
        <v>26</v>
      </c>
      <c r="C11" s="13" t="s">
        <v>27</v>
      </c>
      <c r="D11" s="10">
        <v>0</v>
      </c>
      <c r="E11" s="9">
        <v>0</v>
      </c>
      <c r="F11" s="10">
        <v>1</v>
      </c>
      <c r="G11" s="10">
        <v>1</v>
      </c>
      <c r="H11" s="10">
        <v>3</v>
      </c>
      <c r="I11" s="9">
        <v>0</v>
      </c>
      <c r="J11" s="11">
        <v>5</v>
      </c>
      <c r="K11" s="5">
        <v>0.23</v>
      </c>
    </row>
    <row r="12" spans="2:11" ht="25.5" thickTop="1" thickBot="1">
      <c r="B12" s="150"/>
      <c r="C12" s="13" t="s">
        <v>37</v>
      </c>
      <c r="D12" s="10">
        <v>0</v>
      </c>
      <c r="E12" s="9">
        <v>0</v>
      </c>
      <c r="F12" s="10">
        <v>0</v>
      </c>
      <c r="G12" s="10">
        <v>0</v>
      </c>
      <c r="H12" s="10">
        <v>2</v>
      </c>
      <c r="I12" s="9">
        <v>0</v>
      </c>
      <c r="J12" s="11">
        <v>2</v>
      </c>
      <c r="K12" s="5">
        <v>0.09</v>
      </c>
    </row>
    <row r="13" spans="2:11" ht="16.5" thickTop="1" thickBot="1">
      <c r="B13" s="148"/>
      <c r="C13" s="13" t="s">
        <v>28</v>
      </c>
      <c r="D13" s="14">
        <v>5</v>
      </c>
      <c r="E13" s="9">
        <v>0</v>
      </c>
      <c r="F13" s="10">
        <v>0</v>
      </c>
      <c r="G13" s="10">
        <v>0</v>
      </c>
      <c r="H13" s="10">
        <v>0</v>
      </c>
      <c r="I13" s="9">
        <v>0</v>
      </c>
      <c r="J13" s="11">
        <v>5</v>
      </c>
      <c r="K13" s="5">
        <v>0.23</v>
      </c>
    </row>
    <row r="14" spans="2:11" ht="37.5" thickTop="1" thickBot="1">
      <c r="B14" s="7" t="s">
        <v>31</v>
      </c>
      <c r="C14" s="13" t="s">
        <v>32</v>
      </c>
      <c r="D14" s="10">
        <v>1</v>
      </c>
      <c r="E14" s="9">
        <v>0</v>
      </c>
      <c r="F14" s="10">
        <v>0</v>
      </c>
      <c r="G14" s="10">
        <v>0</v>
      </c>
      <c r="H14" s="10">
        <v>0</v>
      </c>
      <c r="I14" s="9">
        <v>0</v>
      </c>
      <c r="J14" s="11">
        <v>1</v>
      </c>
      <c r="K14" s="5">
        <v>0.05</v>
      </c>
    </row>
    <row r="15" spans="2:11" ht="16.5" thickTop="1" thickBot="1">
      <c r="B15" s="145" t="s">
        <v>38</v>
      </c>
      <c r="C15" s="146"/>
      <c r="D15" s="5">
        <v>34</v>
      </c>
      <c r="E15" s="5">
        <v>0</v>
      </c>
      <c r="F15" s="5">
        <v>1</v>
      </c>
      <c r="G15" s="5">
        <v>304</v>
      </c>
      <c r="H15" s="5">
        <v>1816</v>
      </c>
      <c r="I15" s="5">
        <v>0</v>
      </c>
      <c r="J15" s="5">
        <v>2155</v>
      </c>
      <c r="K15" s="5">
        <v>100</v>
      </c>
    </row>
    <row r="16" spans="2:11" ht="15.75" thickTop="1"/>
  </sheetData>
  <mergeCells count="5">
    <mergeCell ref="B4:B5"/>
    <mergeCell ref="B6:B7"/>
    <mergeCell ref="B9:B10"/>
    <mergeCell ref="B11:B13"/>
    <mergeCell ref="B15:C1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19"/>
  <sheetViews>
    <sheetView workbookViewId="0">
      <selection activeCell="A19" sqref="A19:B19"/>
    </sheetView>
  </sheetViews>
  <sheetFormatPr baseColWidth="10" defaultRowHeight="15"/>
  <cols>
    <col min="1" max="1" width="23.5703125" customWidth="1"/>
    <col min="2" max="2" width="29.42578125" customWidth="1"/>
    <col min="7" max="7" width="14.42578125" customWidth="1"/>
  </cols>
  <sheetData>
    <row r="4" spans="1:10" ht="15.75" thickBot="1">
      <c r="A4" s="169" t="s">
        <v>73</v>
      </c>
      <c r="B4" s="170"/>
      <c r="C4" s="170"/>
      <c r="D4" s="170"/>
      <c r="E4" s="170"/>
      <c r="F4" s="170"/>
      <c r="G4" s="170"/>
      <c r="H4" s="170"/>
      <c r="I4" s="170"/>
      <c r="J4" s="170"/>
    </row>
    <row r="5" spans="1:10" ht="16.5" thickTop="1" thickBot="1">
      <c r="A5" s="67" t="s">
        <v>0</v>
      </c>
      <c r="B5" s="67" t="s">
        <v>1</v>
      </c>
      <c r="C5" s="67" t="s">
        <v>2</v>
      </c>
      <c r="D5" s="67" t="s">
        <v>3</v>
      </c>
      <c r="E5" s="67" t="s">
        <v>4</v>
      </c>
      <c r="F5" s="67" t="s">
        <v>5</v>
      </c>
      <c r="G5" s="67" t="s">
        <v>6</v>
      </c>
      <c r="H5" s="67" t="s">
        <v>7</v>
      </c>
      <c r="I5" s="67" t="s">
        <v>8</v>
      </c>
      <c r="J5" s="67" t="s">
        <v>9</v>
      </c>
    </row>
    <row r="6" spans="1:10" ht="25.5" thickTop="1" thickBot="1">
      <c r="A6" s="171" t="s">
        <v>57</v>
      </c>
      <c r="B6" s="67" t="s">
        <v>11</v>
      </c>
      <c r="C6" s="98">
        <v>0</v>
      </c>
      <c r="D6" s="98">
        <v>0</v>
      </c>
      <c r="E6" s="98">
        <v>0</v>
      </c>
      <c r="F6" s="99">
        <v>264</v>
      </c>
      <c r="G6" s="99">
        <v>3671</v>
      </c>
      <c r="H6" s="98">
        <v>0</v>
      </c>
      <c r="I6" s="62">
        <f t="shared" ref="I6:I14" si="0">SUM(C6:H6)</f>
        <v>3935</v>
      </c>
      <c r="J6" s="95">
        <f t="shared" ref="J6:J15" si="1">I6/4338*100</f>
        <v>90.710004610419546</v>
      </c>
    </row>
    <row r="7" spans="1:10" ht="25.5" thickTop="1" thickBot="1">
      <c r="A7" s="172"/>
      <c r="B7" s="67" t="s">
        <v>72</v>
      </c>
      <c r="C7" s="98">
        <v>0</v>
      </c>
      <c r="D7" s="98">
        <v>0</v>
      </c>
      <c r="E7" s="98">
        <v>0</v>
      </c>
      <c r="F7" s="99">
        <v>20</v>
      </c>
      <c r="G7" s="99">
        <v>298</v>
      </c>
      <c r="H7" s="98">
        <v>0</v>
      </c>
      <c r="I7" s="62">
        <f t="shared" si="0"/>
        <v>318</v>
      </c>
      <c r="J7" s="95">
        <f t="shared" si="1"/>
        <v>7.3305670816044266</v>
      </c>
    </row>
    <row r="8" spans="1:10" ht="25.5" thickTop="1" thickBot="1">
      <c r="A8" s="96" t="s">
        <v>13</v>
      </c>
      <c r="B8" s="67" t="s">
        <v>14</v>
      </c>
      <c r="C8" s="40">
        <f>1+1+1+3</f>
        <v>6</v>
      </c>
      <c r="D8" s="98">
        <v>0</v>
      </c>
      <c r="E8" s="98">
        <v>0</v>
      </c>
      <c r="F8" s="98">
        <v>0</v>
      </c>
      <c r="G8" s="98">
        <v>0</v>
      </c>
      <c r="H8" s="98">
        <v>0</v>
      </c>
      <c r="I8" s="62">
        <f t="shared" si="0"/>
        <v>6</v>
      </c>
      <c r="J8" s="95">
        <f t="shared" si="1"/>
        <v>0.13831258644536654</v>
      </c>
    </row>
    <row r="9" spans="1:10" ht="37.5" thickTop="1" thickBot="1">
      <c r="A9" s="96" t="s">
        <v>59</v>
      </c>
      <c r="B9" s="67" t="s">
        <v>16</v>
      </c>
      <c r="C9" s="40">
        <v>2</v>
      </c>
      <c r="D9" s="98">
        <v>0</v>
      </c>
      <c r="E9" s="98">
        <v>0</v>
      </c>
      <c r="F9" s="98">
        <v>0</v>
      </c>
      <c r="G9" s="98">
        <v>0</v>
      </c>
      <c r="H9" s="98">
        <v>0</v>
      </c>
      <c r="I9" s="62">
        <f t="shared" si="0"/>
        <v>2</v>
      </c>
      <c r="J9" s="95">
        <f t="shared" si="1"/>
        <v>4.6104195481788839E-2</v>
      </c>
    </row>
    <row r="10" spans="1:10" ht="25.5" thickTop="1" thickBot="1">
      <c r="A10" s="67" t="s">
        <v>17</v>
      </c>
      <c r="B10" s="67" t="s">
        <v>18</v>
      </c>
      <c r="C10" s="40">
        <v>0</v>
      </c>
      <c r="D10" s="98">
        <v>0</v>
      </c>
      <c r="E10" s="98">
        <v>0</v>
      </c>
      <c r="F10" s="98">
        <v>0</v>
      </c>
      <c r="G10" s="98">
        <v>0</v>
      </c>
      <c r="H10" s="38">
        <v>1</v>
      </c>
      <c r="I10" s="62">
        <f t="shared" si="0"/>
        <v>1</v>
      </c>
      <c r="J10" s="95">
        <f t="shared" si="1"/>
        <v>2.3052097740894419E-2</v>
      </c>
    </row>
    <row r="11" spans="1:10" ht="16.5" thickTop="1" thickBot="1">
      <c r="A11" s="171" t="s">
        <v>19</v>
      </c>
      <c r="B11" s="67" t="s">
        <v>20</v>
      </c>
      <c r="C11" s="40">
        <v>10</v>
      </c>
      <c r="D11" s="98">
        <v>0</v>
      </c>
      <c r="E11" s="98">
        <v>0</v>
      </c>
      <c r="F11" s="98">
        <v>0</v>
      </c>
      <c r="G11" s="98">
        <v>0</v>
      </c>
      <c r="H11" s="98">
        <v>0</v>
      </c>
      <c r="I11" s="62">
        <f t="shared" si="0"/>
        <v>10</v>
      </c>
      <c r="J11" s="95">
        <f t="shared" si="1"/>
        <v>0.23052097740894423</v>
      </c>
    </row>
    <row r="12" spans="1:10" ht="16.5" thickTop="1" thickBot="1">
      <c r="A12" s="172"/>
      <c r="B12" s="67" t="s">
        <v>21</v>
      </c>
      <c r="C12" s="34">
        <f>17+2</f>
        <v>19</v>
      </c>
      <c r="D12" s="98">
        <v>0</v>
      </c>
      <c r="E12" s="98">
        <v>0</v>
      </c>
      <c r="F12" s="98">
        <v>0</v>
      </c>
      <c r="G12" s="98">
        <v>0</v>
      </c>
      <c r="H12" s="98">
        <v>0</v>
      </c>
      <c r="I12" s="62">
        <f t="shared" si="0"/>
        <v>19</v>
      </c>
      <c r="J12" s="95">
        <f t="shared" si="1"/>
        <v>0.437989857076994</v>
      </c>
    </row>
    <row r="13" spans="1:10" ht="16.5" thickTop="1" thickBot="1">
      <c r="A13" s="171" t="s">
        <v>26</v>
      </c>
      <c r="B13" s="67" t="s">
        <v>28</v>
      </c>
      <c r="C13" s="34">
        <v>42</v>
      </c>
      <c r="D13" s="38">
        <v>1</v>
      </c>
      <c r="E13" s="38">
        <v>0</v>
      </c>
      <c r="F13" s="38">
        <v>0</v>
      </c>
      <c r="G13" s="38">
        <v>1</v>
      </c>
      <c r="H13" s="98">
        <v>0</v>
      </c>
      <c r="I13" s="62">
        <f t="shared" si="0"/>
        <v>44</v>
      </c>
      <c r="J13" s="95">
        <f t="shared" si="1"/>
        <v>1.0142923005993545</v>
      </c>
    </row>
    <row r="14" spans="1:10" ht="16.5" thickTop="1" thickBot="1">
      <c r="A14" s="172"/>
      <c r="B14" s="67" t="s">
        <v>27</v>
      </c>
      <c r="C14" s="62">
        <v>0</v>
      </c>
      <c r="D14" s="62">
        <v>0</v>
      </c>
      <c r="E14" s="62">
        <v>0</v>
      </c>
      <c r="F14" s="62">
        <v>1</v>
      </c>
      <c r="G14" s="62">
        <v>0</v>
      </c>
      <c r="H14" s="98">
        <v>0</v>
      </c>
      <c r="I14" s="62">
        <f t="shared" si="0"/>
        <v>1</v>
      </c>
      <c r="J14" s="95">
        <f t="shared" si="1"/>
        <v>2.3052097740894419E-2</v>
      </c>
    </row>
    <row r="15" spans="1:10" ht="25.5" thickTop="1" thickBot="1">
      <c r="A15" s="96" t="s">
        <v>31</v>
      </c>
      <c r="B15" s="67" t="s">
        <v>32</v>
      </c>
      <c r="C15" s="40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62">
        <f t="shared" ref="I15" si="2">SUM(C15:H15)</f>
        <v>2</v>
      </c>
      <c r="J15" s="95">
        <f t="shared" si="1"/>
        <v>4.6104195481788839E-2</v>
      </c>
    </row>
    <row r="16" spans="1:10" ht="16.5" thickTop="1" thickBot="1">
      <c r="A16" s="158" t="s">
        <v>38</v>
      </c>
      <c r="B16" s="158"/>
      <c r="C16" s="39">
        <f t="shared" ref="C16:H16" si="3">SUM(C6:C15)</f>
        <v>80</v>
      </c>
      <c r="D16" s="39">
        <f t="shared" si="3"/>
        <v>1</v>
      </c>
      <c r="E16" s="39">
        <f t="shared" si="3"/>
        <v>0</v>
      </c>
      <c r="F16" s="39">
        <f t="shared" si="3"/>
        <v>285</v>
      </c>
      <c r="G16" s="39">
        <f t="shared" si="3"/>
        <v>3970</v>
      </c>
      <c r="H16" s="39">
        <f t="shared" si="3"/>
        <v>2</v>
      </c>
      <c r="I16" s="39">
        <f>SUM(C6:H15)</f>
        <v>4338</v>
      </c>
      <c r="J16" s="97">
        <f>I16/4338*100</f>
        <v>100</v>
      </c>
    </row>
    <row r="17" spans="1:2" ht="15.75" thickTop="1"/>
    <row r="19" spans="1:2">
      <c r="A19" s="77" t="s">
        <v>55</v>
      </c>
      <c r="B19" s="77" t="s">
        <v>60</v>
      </c>
    </row>
  </sheetData>
  <mergeCells count="5">
    <mergeCell ref="A6:A7"/>
    <mergeCell ref="A11:A12"/>
    <mergeCell ref="A13:A14"/>
    <mergeCell ref="A16:B16"/>
    <mergeCell ref="A4:J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3"/>
  <sheetViews>
    <sheetView topLeftCell="A7" workbookViewId="0">
      <selection activeCell="A23" sqref="A23:B23"/>
    </sheetView>
  </sheetViews>
  <sheetFormatPr baseColWidth="10" defaultRowHeight="15"/>
  <cols>
    <col min="1" max="1" width="18.28515625" customWidth="1"/>
    <col min="2" max="2" width="19.5703125" customWidth="1"/>
    <col min="7" max="7" width="12.42578125" customWidth="1"/>
    <col min="8" max="8" width="10.5703125" customWidth="1"/>
    <col min="9" max="9" width="8.85546875" customWidth="1"/>
    <col min="10" max="10" width="6.28515625" customWidth="1"/>
  </cols>
  <sheetData>
    <row r="3" spans="1:10" ht="15.75" thickBot="1">
      <c r="A3" s="169" t="s">
        <v>78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6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1.75" customHeight="1" thickTop="1" thickBot="1">
      <c r="A5" s="171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216</v>
      </c>
      <c r="G5" s="35">
        <v>3627</v>
      </c>
      <c r="H5" s="35">
        <v>0</v>
      </c>
      <c r="I5" s="35">
        <f t="shared" ref="I5:I19" si="0">SUM(C5:H5)</f>
        <v>3843</v>
      </c>
      <c r="J5" s="95">
        <f t="shared" ref="J5:J19" si="1">I5/4269*100</f>
        <v>90.021082220660574</v>
      </c>
    </row>
    <row r="6" spans="1:10" ht="25.5" thickTop="1" thickBot="1">
      <c r="A6" s="172"/>
      <c r="B6" s="67" t="s">
        <v>72</v>
      </c>
      <c r="C6" s="34">
        <v>1</v>
      </c>
      <c r="D6" s="35">
        <v>0</v>
      </c>
      <c r="E6" s="35">
        <v>1</v>
      </c>
      <c r="F6" s="35">
        <v>15</v>
      </c>
      <c r="G6" s="35">
        <v>293</v>
      </c>
      <c r="H6" s="35">
        <v>0</v>
      </c>
      <c r="I6" s="35">
        <f t="shared" si="0"/>
        <v>310</v>
      </c>
      <c r="J6" s="95">
        <f t="shared" si="1"/>
        <v>7.2616537830873735</v>
      </c>
    </row>
    <row r="7" spans="1:10" ht="37.5" thickTop="1" thickBot="1">
      <c r="A7" s="96" t="s">
        <v>13</v>
      </c>
      <c r="B7" s="67" t="s">
        <v>14</v>
      </c>
      <c r="C7" s="40">
        <f>7+3+1</f>
        <v>11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8">
        <f t="shared" si="0"/>
        <v>11</v>
      </c>
      <c r="J7" s="95">
        <f t="shared" si="1"/>
        <v>0.25767158585148747</v>
      </c>
    </row>
    <row r="8" spans="1:10" ht="49.5" thickTop="1" thickBot="1">
      <c r="A8" s="96" t="s">
        <v>59</v>
      </c>
      <c r="B8" s="67" t="s">
        <v>74</v>
      </c>
      <c r="C8" s="40">
        <v>1</v>
      </c>
      <c r="D8" s="35">
        <v>0</v>
      </c>
      <c r="E8" s="35">
        <v>0</v>
      </c>
      <c r="F8" s="35">
        <v>0</v>
      </c>
      <c r="G8" s="35">
        <v>0</v>
      </c>
      <c r="H8" s="35">
        <v>0</v>
      </c>
      <c r="I8" s="38">
        <f t="shared" si="0"/>
        <v>1</v>
      </c>
      <c r="J8" s="95">
        <f t="shared" si="1"/>
        <v>2.3424689622862496E-2</v>
      </c>
    </row>
    <row r="9" spans="1:10" ht="16.5" thickTop="1" thickBot="1">
      <c r="A9" s="171" t="s">
        <v>19</v>
      </c>
      <c r="B9" s="67" t="s">
        <v>20</v>
      </c>
      <c r="C9" s="40">
        <v>8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8">
        <f t="shared" si="0"/>
        <v>8</v>
      </c>
      <c r="J9" s="95">
        <f t="shared" si="1"/>
        <v>0.18739751698289997</v>
      </c>
    </row>
    <row r="10" spans="1:10" ht="16.5" thickTop="1" thickBot="1">
      <c r="A10" s="173"/>
      <c r="B10" s="67" t="s">
        <v>21</v>
      </c>
      <c r="C10" s="34">
        <f>20+5+1</f>
        <v>26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f t="shared" si="0"/>
        <v>26</v>
      </c>
      <c r="J10" s="95">
        <f t="shared" si="1"/>
        <v>0.60904193019442487</v>
      </c>
    </row>
    <row r="11" spans="1:10" ht="16.5" thickTop="1" thickBot="1">
      <c r="A11" s="173"/>
      <c r="B11" s="67" t="s">
        <v>75</v>
      </c>
      <c r="C11" s="34">
        <v>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35">
        <f t="shared" si="0"/>
        <v>1</v>
      </c>
      <c r="J11" s="95">
        <f t="shared" si="1"/>
        <v>2.3424689622862496E-2</v>
      </c>
    </row>
    <row r="12" spans="1:10" ht="16.5" thickTop="1" thickBot="1">
      <c r="A12" s="172"/>
      <c r="B12" s="67" t="s">
        <v>76</v>
      </c>
      <c r="C12" s="34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0"/>
        <v>1</v>
      </c>
      <c r="J12" s="95">
        <f t="shared" si="1"/>
        <v>2.3424689622862496E-2</v>
      </c>
    </row>
    <row r="13" spans="1:10" ht="39.75" customHeight="1" thickTop="1" thickBot="1">
      <c r="A13" s="43" t="s">
        <v>24</v>
      </c>
      <c r="B13" s="43" t="s">
        <v>68</v>
      </c>
      <c r="C13" s="40">
        <v>0</v>
      </c>
      <c r="D13" s="38">
        <v>0</v>
      </c>
      <c r="E13" s="38">
        <v>1</v>
      </c>
      <c r="F13" s="35">
        <v>0</v>
      </c>
      <c r="G13" s="35">
        <v>0</v>
      </c>
      <c r="H13" s="35">
        <v>0</v>
      </c>
      <c r="I13" s="38">
        <f t="shared" si="0"/>
        <v>1</v>
      </c>
      <c r="J13" s="95">
        <f t="shared" si="1"/>
        <v>2.3424689622862496E-2</v>
      </c>
    </row>
    <row r="14" spans="1:10" ht="16.5" thickTop="1" thickBot="1">
      <c r="A14" s="171" t="s">
        <v>26</v>
      </c>
      <c r="B14" s="67" t="s">
        <v>28</v>
      </c>
      <c r="C14" s="34">
        <f>48+3</f>
        <v>51</v>
      </c>
      <c r="D14" s="38">
        <v>1</v>
      </c>
      <c r="E14" s="38">
        <v>5</v>
      </c>
      <c r="F14" s="38">
        <v>1</v>
      </c>
      <c r="G14" s="35">
        <v>0</v>
      </c>
      <c r="H14" s="38">
        <v>1</v>
      </c>
      <c r="I14" s="38">
        <f t="shared" si="0"/>
        <v>59</v>
      </c>
      <c r="J14" s="95">
        <f t="shared" si="1"/>
        <v>1.3820566877488873</v>
      </c>
    </row>
    <row r="15" spans="1:10" ht="16.5" thickTop="1" thickBot="1">
      <c r="A15" s="173"/>
      <c r="B15" s="67" t="s">
        <v>77</v>
      </c>
      <c r="C15" s="40">
        <v>1</v>
      </c>
      <c r="D15" s="38">
        <v>0</v>
      </c>
      <c r="E15" s="38">
        <v>0</v>
      </c>
      <c r="F15" s="35">
        <v>0</v>
      </c>
      <c r="G15" s="35">
        <v>0</v>
      </c>
      <c r="H15" s="38">
        <v>0</v>
      </c>
      <c r="I15" s="38">
        <f t="shared" si="0"/>
        <v>1</v>
      </c>
      <c r="J15" s="95">
        <f t="shared" si="1"/>
        <v>2.3424689622862496E-2</v>
      </c>
    </row>
    <row r="16" spans="1:10" ht="16.5" thickTop="1" thickBot="1">
      <c r="A16" s="173"/>
      <c r="B16" s="43" t="s">
        <v>37</v>
      </c>
      <c r="C16" s="40">
        <v>0</v>
      </c>
      <c r="D16" s="38">
        <v>0</v>
      </c>
      <c r="E16" s="38">
        <v>1</v>
      </c>
      <c r="F16" s="35">
        <v>0</v>
      </c>
      <c r="G16" s="35">
        <v>0</v>
      </c>
      <c r="H16" s="38">
        <v>0</v>
      </c>
      <c r="I16" s="38">
        <f t="shared" si="0"/>
        <v>1</v>
      </c>
      <c r="J16" s="95">
        <f t="shared" si="1"/>
        <v>2.3424689622862496E-2</v>
      </c>
    </row>
    <row r="17" spans="1:10" ht="25.5" thickTop="1" thickBot="1">
      <c r="A17" s="172"/>
      <c r="B17" s="67" t="s">
        <v>27</v>
      </c>
      <c r="C17" s="40">
        <v>0</v>
      </c>
      <c r="D17" s="38">
        <v>0</v>
      </c>
      <c r="E17" s="35">
        <v>0</v>
      </c>
      <c r="F17" s="35">
        <v>0</v>
      </c>
      <c r="G17" s="38">
        <v>1</v>
      </c>
      <c r="H17" s="38">
        <v>0</v>
      </c>
      <c r="I17" s="38">
        <f t="shared" si="0"/>
        <v>1</v>
      </c>
      <c r="J17" s="95">
        <f t="shared" si="1"/>
        <v>2.3424689622862496E-2</v>
      </c>
    </row>
    <row r="18" spans="1:10" ht="37.5" thickTop="1" thickBot="1">
      <c r="A18" s="43" t="s">
        <v>29</v>
      </c>
      <c r="B18" s="43" t="s">
        <v>30</v>
      </c>
      <c r="C18" s="40">
        <v>0</v>
      </c>
      <c r="D18" s="38">
        <v>0</v>
      </c>
      <c r="E18" s="35">
        <v>0</v>
      </c>
      <c r="F18" s="35">
        <v>0</v>
      </c>
      <c r="G18" s="38">
        <v>0</v>
      </c>
      <c r="H18" s="38">
        <v>1</v>
      </c>
      <c r="I18" s="38">
        <f t="shared" si="0"/>
        <v>1</v>
      </c>
      <c r="J18" s="95">
        <f t="shared" si="1"/>
        <v>2.3424689622862496E-2</v>
      </c>
    </row>
    <row r="19" spans="1:10" ht="54" customHeight="1" thickTop="1" thickBot="1">
      <c r="A19" s="96" t="s">
        <v>31</v>
      </c>
      <c r="B19" s="67" t="s">
        <v>32</v>
      </c>
      <c r="C19" s="40">
        <v>3</v>
      </c>
      <c r="D19" s="38">
        <v>0</v>
      </c>
      <c r="E19" s="35">
        <v>0</v>
      </c>
      <c r="F19" s="35">
        <v>0</v>
      </c>
      <c r="G19" s="38">
        <v>0</v>
      </c>
      <c r="H19" s="38">
        <v>1</v>
      </c>
      <c r="I19" s="38">
        <f t="shared" si="0"/>
        <v>4</v>
      </c>
      <c r="J19" s="95">
        <f t="shared" si="1"/>
        <v>9.3698758491449985E-2</v>
      </c>
    </row>
    <row r="20" spans="1:10" ht="16.5" thickTop="1" thickBot="1">
      <c r="A20" s="158" t="s">
        <v>38</v>
      </c>
      <c r="B20" s="158"/>
      <c r="C20" s="39">
        <f t="shared" ref="C20:H20" si="2">SUM(C5:C19)</f>
        <v>104</v>
      </c>
      <c r="D20" s="39">
        <f t="shared" si="2"/>
        <v>1</v>
      </c>
      <c r="E20" s="39">
        <f t="shared" si="2"/>
        <v>8</v>
      </c>
      <c r="F20" s="39">
        <f t="shared" si="2"/>
        <v>232</v>
      </c>
      <c r="G20" s="39">
        <f t="shared" si="2"/>
        <v>3921</v>
      </c>
      <c r="H20" s="39">
        <f t="shared" si="2"/>
        <v>3</v>
      </c>
      <c r="I20" s="39">
        <f>SUM(C5:H19)</f>
        <v>4269</v>
      </c>
      <c r="J20" s="97">
        <f>I20/4269*100</f>
        <v>100</v>
      </c>
    </row>
    <row r="21" spans="1:10" ht="15.75" thickTop="1"/>
    <row r="23" spans="1:10">
      <c r="A23" s="77" t="s">
        <v>55</v>
      </c>
      <c r="B23" s="77" t="s">
        <v>60</v>
      </c>
    </row>
  </sheetData>
  <mergeCells count="5">
    <mergeCell ref="A5:A6"/>
    <mergeCell ref="A9:A12"/>
    <mergeCell ref="A14:A17"/>
    <mergeCell ref="A20:B20"/>
    <mergeCell ref="A3:J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topLeftCell="A4" workbookViewId="0">
      <selection activeCell="A19" sqref="A19:B19"/>
    </sheetView>
  </sheetViews>
  <sheetFormatPr baseColWidth="10" defaultRowHeight="15"/>
  <cols>
    <col min="1" max="1" width="16.42578125" customWidth="1"/>
    <col min="2" max="2" width="19.5703125" customWidth="1"/>
    <col min="7" max="7" width="13" customWidth="1"/>
  </cols>
  <sheetData>
    <row r="3" spans="1:10" ht="15.75" thickBot="1">
      <c r="A3" s="169" t="s">
        <v>80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ht="16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>
      <c r="A5" s="171" t="s">
        <v>57</v>
      </c>
      <c r="B5" s="67" t="s">
        <v>79</v>
      </c>
      <c r="C5" s="34">
        <v>1</v>
      </c>
      <c r="D5" s="35">
        <v>0</v>
      </c>
      <c r="E5" s="35">
        <v>0</v>
      </c>
      <c r="F5" s="38">
        <v>0</v>
      </c>
      <c r="G5" s="38">
        <v>0</v>
      </c>
      <c r="H5" s="35">
        <v>0</v>
      </c>
      <c r="I5" s="35">
        <f t="shared" ref="I5:I16" si="0">SUM(C5:H5)</f>
        <v>1</v>
      </c>
      <c r="J5" s="95">
        <f t="shared" ref="J5:J16" si="1">I5/3698*100</f>
        <v>2.7041644131963225E-2</v>
      </c>
    </row>
    <row r="6" spans="1:10" ht="37.5" thickTop="1" thickBot="1">
      <c r="A6" s="173"/>
      <c r="B6" s="67" t="s">
        <v>11</v>
      </c>
      <c r="C6" s="34">
        <v>1</v>
      </c>
      <c r="D6" s="35">
        <v>0</v>
      </c>
      <c r="E6" s="35">
        <v>1</v>
      </c>
      <c r="F6" s="35">
        <v>187</v>
      </c>
      <c r="G6" s="35">
        <v>3143</v>
      </c>
      <c r="H6" s="35">
        <v>0</v>
      </c>
      <c r="I6" s="35">
        <f t="shared" si="0"/>
        <v>3332</v>
      </c>
      <c r="J6" s="95">
        <f t="shared" si="1"/>
        <v>90.102758247701459</v>
      </c>
    </row>
    <row r="7" spans="1:10" ht="25.5" thickTop="1" thickBot="1">
      <c r="A7" s="172"/>
      <c r="B7" s="67" t="s">
        <v>72</v>
      </c>
      <c r="C7" s="34">
        <v>0</v>
      </c>
      <c r="D7" s="35">
        <v>0</v>
      </c>
      <c r="E7" s="35">
        <v>0</v>
      </c>
      <c r="F7" s="35">
        <v>10</v>
      </c>
      <c r="G7" s="35">
        <v>242</v>
      </c>
      <c r="H7" s="35">
        <v>0</v>
      </c>
      <c r="I7" s="35">
        <f t="shared" si="0"/>
        <v>252</v>
      </c>
      <c r="J7" s="95">
        <f t="shared" si="1"/>
        <v>6.8144943212547329</v>
      </c>
    </row>
    <row r="8" spans="1:10" ht="25.5" thickTop="1" thickBot="1">
      <c r="A8" s="171" t="s">
        <v>13</v>
      </c>
      <c r="B8" s="67" t="s">
        <v>36</v>
      </c>
      <c r="C8" s="34">
        <v>0</v>
      </c>
      <c r="D8" s="35">
        <v>0</v>
      </c>
      <c r="E8" s="35">
        <v>0</v>
      </c>
      <c r="F8" s="38">
        <v>0</v>
      </c>
      <c r="G8" s="38">
        <v>0</v>
      </c>
      <c r="H8" s="38">
        <v>1</v>
      </c>
      <c r="I8" s="38">
        <f t="shared" si="0"/>
        <v>1</v>
      </c>
      <c r="J8" s="95">
        <f t="shared" si="1"/>
        <v>2.7041644131963225E-2</v>
      </c>
    </row>
    <row r="9" spans="1:10" ht="25.5" thickTop="1" thickBot="1">
      <c r="A9" s="172"/>
      <c r="B9" s="67" t="s">
        <v>14</v>
      </c>
      <c r="C9" s="34">
        <f>1+6+12</f>
        <v>19</v>
      </c>
      <c r="D9" s="35">
        <v>0</v>
      </c>
      <c r="E9" s="35">
        <v>0</v>
      </c>
      <c r="F9" s="38">
        <v>0</v>
      </c>
      <c r="G9" s="38">
        <v>0</v>
      </c>
      <c r="H9" s="38">
        <v>2</v>
      </c>
      <c r="I9" s="38">
        <f t="shared" si="0"/>
        <v>21</v>
      </c>
      <c r="J9" s="95">
        <f t="shared" si="1"/>
        <v>0.56787452677122763</v>
      </c>
    </row>
    <row r="10" spans="1:10" ht="61.5" thickTop="1" thickBot="1">
      <c r="A10" s="100" t="s">
        <v>59</v>
      </c>
      <c r="B10" s="43" t="s">
        <v>16</v>
      </c>
      <c r="C10" s="34">
        <v>0</v>
      </c>
      <c r="D10" s="38">
        <v>0</v>
      </c>
      <c r="E10" s="38">
        <v>0</v>
      </c>
      <c r="F10" s="38">
        <v>0</v>
      </c>
      <c r="G10" s="38">
        <v>18</v>
      </c>
      <c r="H10" s="38">
        <v>0</v>
      </c>
      <c r="I10" s="38">
        <f t="shared" si="0"/>
        <v>18</v>
      </c>
      <c r="J10" s="95">
        <f t="shared" si="1"/>
        <v>0.48674959437533805</v>
      </c>
    </row>
    <row r="11" spans="1:10" ht="16.5" thickTop="1" thickBot="1">
      <c r="A11" s="171" t="s">
        <v>19</v>
      </c>
      <c r="B11" s="67" t="s">
        <v>20</v>
      </c>
      <c r="C11" s="34">
        <f>7+1</f>
        <v>8</v>
      </c>
      <c r="D11" s="38">
        <v>0</v>
      </c>
      <c r="E11" s="38">
        <v>1</v>
      </c>
      <c r="F11" s="38">
        <v>0</v>
      </c>
      <c r="G11" s="38">
        <v>0</v>
      </c>
      <c r="H11" s="38">
        <v>0</v>
      </c>
      <c r="I11" s="38">
        <f t="shared" si="0"/>
        <v>9</v>
      </c>
      <c r="J11" s="95">
        <f t="shared" si="1"/>
        <v>0.24337479718766902</v>
      </c>
    </row>
    <row r="12" spans="1:10" ht="16.5" thickTop="1" thickBot="1">
      <c r="A12" s="172"/>
      <c r="B12" s="67" t="s">
        <v>21</v>
      </c>
      <c r="C12" s="34">
        <f>3+16+1</f>
        <v>20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5">
        <f t="shared" si="0"/>
        <v>20</v>
      </c>
      <c r="J12" s="95">
        <f t="shared" si="1"/>
        <v>0.54083288263926443</v>
      </c>
    </row>
    <row r="13" spans="1:10" ht="16.5" thickTop="1" thickBot="1">
      <c r="A13" s="101" t="s">
        <v>22</v>
      </c>
      <c r="B13" s="43" t="s">
        <v>23</v>
      </c>
      <c r="C13" s="34">
        <v>4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5">
        <f t="shared" si="0"/>
        <v>4</v>
      </c>
      <c r="J13" s="95">
        <f t="shared" si="1"/>
        <v>0.1081665765278529</v>
      </c>
    </row>
    <row r="14" spans="1:10" ht="16.5" thickTop="1" thickBot="1">
      <c r="A14" s="171" t="s">
        <v>26</v>
      </c>
      <c r="B14" s="67" t="s">
        <v>28</v>
      </c>
      <c r="C14" s="34">
        <f>32+1</f>
        <v>33</v>
      </c>
      <c r="D14" s="38">
        <v>1</v>
      </c>
      <c r="E14" s="38">
        <v>1</v>
      </c>
      <c r="F14" s="38">
        <v>1</v>
      </c>
      <c r="G14" s="38">
        <v>0</v>
      </c>
      <c r="H14" s="38">
        <v>0</v>
      </c>
      <c r="I14" s="38">
        <f t="shared" si="0"/>
        <v>36</v>
      </c>
      <c r="J14" s="95">
        <f t="shared" si="1"/>
        <v>0.97349918875067609</v>
      </c>
    </row>
    <row r="15" spans="1:10" ht="35.25" customHeight="1" thickTop="1" thickBot="1">
      <c r="A15" s="172"/>
      <c r="B15" s="67" t="s">
        <v>77</v>
      </c>
      <c r="C15" s="34">
        <v>2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f t="shared" si="0"/>
        <v>2</v>
      </c>
      <c r="J15" s="95">
        <f t="shared" si="1"/>
        <v>5.408328826392645E-2</v>
      </c>
    </row>
    <row r="16" spans="1:10" ht="37.5" thickTop="1" thickBot="1">
      <c r="A16" s="43" t="s">
        <v>29</v>
      </c>
      <c r="B16" s="43" t="s">
        <v>30</v>
      </c>
      <c r="C16" s="34">
        <v>1</v>
      </c>
      <c r="D16" s="38">
        <v>0</v>
      </c>
      <c r="E16" s="38">
        <v>0</v>
      </c>
      <c r="F16" s="38">
        <v>0</v>
      </c>
      <c r="G16" s="38">
        <v>0</v>
      </c>
      <c r="H16" s="38">
        <v>1</v>
      </c>
      <c r="I16" s="38">
        <f t="shared" si="0"/>
        <v>2</v>
      </c>
      <c r="J16" s="95">
        <f t="shared" si="1"/>
        <v>5.408328826392645E-2</v>
      </c>
    </row>
    <row r="17" spans="1:10" ht="16.5" thickTop="1" thickBot="1">
      <c r="A17" s="158" t="s">
        <v>38</v>
      </c>
      <c r="B17" s="158"/>
      <c r="C17" s="39">
        <f t="shared" ref="C17:H17" si="2">SUM(C5:C16)</f>
        <v>89</v>
      </c>
      <c r="D17" s="39">
        <f t="shared" si="2"/>
        <v>1</v>
      </c>
      <c r="E17" s="39">
        <f t="shared" si="2"/>
        <v>3</v>
      </c>
      <c r="F17" s="39">
        <f t="shared" si="2"/>
        <v>198</v>
      </c>
      <c r="G17" s="39">
        <f t="shared" si="2"/>
        <v>3403</v>
      </c>
      <c r="H17" s="39">
        <f t="shared" si="2"/>
        <v>4</v>
      </c>
      <c r="I17" s="39">
        <f>SUM(C5:H16)</f>
        <v>3698</v>
      </c>
      <c r="J17" s="97">
        <f>I17/3698*100</f>
        <v>100</v>
      </c>
    </row>
    <row r="18" spans="1:10" ht="15.75" thickTop="1"/>
    <row r="19" spans="1:10">
      <c r="A19" s="77" t="s">
        <v>55</v>
      </c>
      <c r="B19" s="77" t="s">
        <v>60</v>
      </c>
    </row>
  </sheetData>
  <mergeCells count="6">
    <mergeCell ref="A17:B17"/>
    <mergeCell ref="A3:J3"/>
    <mergeCell ref="A5:A7"/>
    <mergeCell ref="A8:A9"/>
    <mergeCell ref="A11:A12"/>
    <mergeCell ref="A14:A1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topLeftCell="A10" workbookViewId="0">
      <selection activeCell="A18" sqref="A18:B18"/>
    </sheetView>
  </sheetViews>
  <sheetFormatPr baseColWidth="10" defaultRowHeight="15"/>
  <cols>
    <col min="1" max="1" width="14" customWidth="1"/>
    <col min="2" max="2" width="19.42578125" customWidth="1"/>
    <col min="10" max="10" width="9.28515625" customWidth="1"/>
  </cols>
  <sheetData>
    <row r="2" spans="1:10" ht="15.75" thickBot="1"/>
    <row r="3" spans="1:10" ht="16.5" thickTop="1" thickBot="1">
      <c r="A3" s="174" t="s">
        <v>81</v>
      </c>
      <c r="B3" s="175"/>
      <c r="C3" s="175"/>
      <c r="D3" s="175"/>
      <c r="E3" s="175"/>
      <c r="F3" s="175"/>
      <c r="G3" s="175"/>
      <c r="H3" s="175"/>
      <c r="I3" s="175"/>
      <c r="J3" s="176"/>
    </row>
    <row r="4" spans="1:10" ht="25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53.25" customHeight="1" thickTop="1" thickBot="1">
      <c r="A5" s="171" t="s">
        <v>57</v>
      </c>
      <c r="B5" s="67" t="s">
        <v>11</v>
      </c>
      <c r="C5" s="34">
        <v>0</v>
      </c>
      <c r="D5" s="35">
        <v>0</v>
      </c>
      <c r="E5" s="35">
        <v>0</v>
      </c>
      <c r="F5" s="35">
        <v>206</v>
      </c>
      <c r="G5" s="35">
        <v>4106</v>
      </c>
      <c r="H5" s="35">
        <v>0</v>
      </c>
      <c r="I5" s="35">
        <f>SUM(C5:H5)</f>
        <v>4312</v>
      </c>
      <c r="J5" s="95">
        <f t="shared" ref="J5:J14" si="0">I5/4691*100</f>
        <v>91.920699211255595</v>
      </c>
    </row>
    <row r="6" spans="1:10" ht="25.5" thickTop="1" thickBot="1">
      <c r="A6" s="172"/>
      <c r="B6" s="67" t="s">
        <v>72</v>
      </c>
      <c r="C6" s="34">
        <v>0</v>
      </c>
      <c r="D6" s="35">
        <v>0</v>
      </c>
      <c r="E6" s="35">
        <v>0</v>
      </c>
      <c r="F6" s="35">
        <v>13</v>
      </c>
      <c r="G6" s="35">
        <v>258</v>
      </c>
      <c r="H6" s="35">
        <v>0</v>
      </c>
      <c r="I6" s="35">
        <f>SUM(C6:H6)</f>
        <v>271</v>
      </c>
      <c r="J6" s="95">
        <f t="shared" si="0"/>
        <v>5.7770198251971863</v>
      </c>
    </row>
    <row r="7" spans="1:10" ht="40.5" customHeight="1" thickTop="1" thickBot="1">
      <c r="A7" s="102" t="s">
        <v>13</v>
      </c>
      <c r="B7" s="67" t="s">
        <v>14</v>
      </c>
      <c r="C7" s="34">
        <f>2+1+3</f>
        <v>6</v>
      </c>
      <c r="D7" s="38">
        <v>0</v>
      </c>
      <c r="E7" s="38">
        <v>1</v>
      </c>
      <c r="F7" s="38">
        <v>0</v>
      </c>
      <c r="G7" s="38">
        <v>0</v>
      </c>
      <c r="H7" s="35">
        <v>0</v>
      </c>
      <c r="I7" s="38">
        <f>SUM(C7:H7)</f>
        <v>7</v>
      </c>
      <c r="J7" s="95">
        <f t="shared" si="0"/>
        <v>0.14922191430398635</v>
      </c>
    </row>
    <row r="8" spans="1:10" ht="69.75" customHeight="1" thickTop="1" thickBot="1">
      <c r="A8" s="102" t="s">
        <v>59</v>
      </c>
      <c r="B8" s="43" t="s">
        <v>16</v>
      </c>
      <c r="C8" s="34">
        <v>0</v>
      </c>
      <c r="D8" s="38">
        <v>0</v>
      </c>
      <c r="E8" s="38">
        <v>0</v>
      </c>
      <c r="F8" s="38">
        <v>0</v>
      </c>
      <c r="G8" s="38">
        <v>6</v>
      </c>
      <c r="H8" s="35">
        <v>0</v>
      </c>
      <c r="I8" s="38">
        <f t="shared" ref="I8:I14" si="1">SUM(C8:H8)</f>
        <v>6</v>
      </c>
      <c r="J8" s="95">
        <f t="shared" si="0"/>
        <v>0.12790449797484546</v>
      </c>
    </row>
    <row r="9" spans="1:10" ht="33.75" customHeight="1" thickTop="1" thickBot="1">
      <c r="A9" s="171" t="s">
        <v>19</v>
      </c>
      <c r="B9" s="67" t="s">
        <v>20</v>
      </c>
      <c r="C9" s="34">
        <v>4</v>
      </c>
      <c r="D9" s="38">
        <v>0</v>
      </c>
      <c r="E9" s="38">
        <v>1</v>
      </c>
      <c r="F9" s="38">
        <v>0</v>
      </c>
      <c r="G9" s="38">
        <v>0</v>
      </c>
      <c r="H9" s="35">
        <v>0</v>
      </c>
      <c r="I9" s="38">
        <f t="shared" si="1"/>
        <v>5</v>
      </c>
      <c r="J9" s="95">
        <f t="shared" si="0"/>
        <v>0.10658708164570455</v>
      </c>
    </row>
    <row r="10" spans="1:10" ht="33" customHeight="1" thickTop="1" thickBot="1">
      <c r="A10" s="172"/>
      <c r="B10" s="67" t="s">
        <v>21</v>
      </c>
      <c r="C10" s="34">
        <f>15+5+1</f>
        <v>21</v>
      </c>
      <c r="D10" s="38">
        <v>0</v>
      </c>
      <c r="E10" s="35">
        <v>0</v>
      </c>
      <c r="F10" s="38">
        <v>0</v>
      </c>
      <c r="G10" s="35">
        <v>0</v>
      </c>
      <c r="H10" s="35">
        <v>0</v>
      </c>
      <c r="I10" s="35">
        <f t="shared" si="1"/>
        <v>21</v>
      </c>
      <c r="J10" s="95">
        <f t="shared" si="0"/>
        <v>0.4476657429119591</v>
      </c>
    </row>
    <row r="11" spans="1:10" ht="32.25" customHeight="1" thickTop="1" thickBot="1">
      <c r="A11" s="103" t="s">
        <v>22</v>
      </c>
      <c r="B11" s="43" t="s">
        <v>23</v>
      </c>
      <c r="C11" s="34">
        <v>2</v>
      </c>
      <c r="D11" s="38">
        <v>0</v>
      </c>
      <c r="E11" s="38">
        <v>0</v>
      </c>
      <c r="F11" s="38">
        <v>0</v>
      </c>
      <c r="G11" s="38">
        <v>0</v>
      </c>
      <c r="H11" s="35">
        <v>0</v>
      </c>
      <c r="I11" s="35">
        <f t="shared" si="1"/>
        <v>2</v>
      </c>
      <c r="J11" s="95">
        <f t="shared" si="0"/>
        <v>4.2634832658281815E-2</v>
      </c>
    </row>
    <row r="12" spans="1:10" ht="55.5" customHeight="1" thickTop="1" thickBot="1">
      <c r="A12" s="171" t="s">
        <v>26</v>
      </c>
      <c r="B12" s="67" t="s">
        <v>28</v>
      </c>
      <c r="C12" s="34">
        <f>46+3+1</f>
        <v>50</v>
      </c>
      <c r="D12" s="38">
        <v>0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51</v>
      </c>
      <c r="J12" s="95">
        <f t="shared" si="0"/>
        <v>1.0871882327861864</v>
      </c>
    </row>
    <row r="13" spans="1:10" ht="65.25" customHeight="1" thickTop="1" thickBot="1">
      <c r="A13" s="172"/>
      <c r="B13" s="67" t="s">
        <v>27</v>
      </c>
      <c r="C13" s="34">
        <v>0</v>
      </c>
      <c r="D13" s="38">
        <v>0</v>
      </c>
      <c r="E13" s="38">
        <v>0</v>
      </c>
      <c r="F13" s="38">
        <v>1</v>
      </c>
      <c r="G13" s="38">
        <v>9</v>
      </c>
      <c r="H13" s="35">
        <v>0</v>
      </c>
      <c r="I13" s="38">
        <f t="shared" si="1"/>
        <v>10</v>
      </c>
      <c r="J13" s="95">
        <f t="shared" si="0"/>
        <v>0.21317416329140909</v>
      </c>
    </row>
    <row r="14" spans="1:10" ht="57" customHeight="1" thickTop="1" thickBot="1">
      <c r="A14" s="43" t="s">
        <v>29</v>
      </c>
      <c r="B14" s="43" t="s">
        <v>30</v>
      </c>
      <c r="C14" s="34">
        <v>2</v>
      </c>
      <c r="D14" s="38">
        <v>0</v>
      </c>
      <c r="E14" s="38">
        <v>0</v>
      </c>
      <c r="F14" s="38">
        <v>0</v>
      </c>
      <c r="G14" s="38">
        <v>0</v>
      </c>
      <c r="H14" s="38">
        <v>4</v>
      </c>
      <c r="I14" s="38">
        <f t="shared" si="1"/>
        <v>6</v>
      </c>
      <c r="J14" s="95">
        <f t="shared" si="0"/>
        <v>0.12790449797484546</v>
      </c>
    </row>
    <row r="15" spans="1:10" ht="16.5" thickTop="1" thickBot="1">
      <c r="A15" s="158" t="s">
        <v>38</v>
      </c>
      <c r="B15" s="158"/>
      <c r="C15" s="39">
        <f t="shared" ref="C15:H15" si="2">SUM(C5:C14)</f>
        <v>85</v>
      </c>
      <c r="D15" s="39">
        <f t="shared" si="2"/>
        <v>0</v>
      </c>
      <c r="E15" s="39">
        <f t="shared" si="2"/>
        <v>3</v>
      </c>
      <c r="F15" s="39">
        <f t="shared" si="2"/>
        <v>220</v>
      </c>
      <c r="G15" s="39">
        <f t="shared" si="2"/>
        <v>4379</v>
      </c>
      <c r="H15" s="39">
        <f t="shared" si="2"/>
        <v>4</v>
      </c>
      <c r="I15" s="39">
        <f>SUM(C5:H14)</f>
        <v>4691</v>
      </c>
      <c r="J15" s="97">
        <f>I15/4691*100</f>
        <v>100</v>
      </c>
    </row>
    <row r="16" spans="1:10" ht="15.75" thickTop="1"/>
    <row r="18" spans="1:2">
      <c r="A18" s="77" t="s">
        <v>55</v>
      </c>
      <c r="B18" s="77" t="s">
        <v>60</v>
      </c>
    </row>
  </sheetData>
  <mergeCells count="5">
    <mergeCell ref="A5:A6"/>
    <mergeCell ref="A9:A10"/>
    <mergeCell ref="A12:A13"/>
    <mergeCell ref="A15:B15"/>
    <mergeCell ref="A3:J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opLeftCell="A13" workbookViewId="0">
      <selection activeCell="G36" sqref="G36"/>
    </sheetView>
  </sheetViews>
  <sheetFormatPr baseColWidth="10" defaultRowHeight="15"/>
  <cols>
    <col min="1" max="1" width="15.5703125" customWidth="1"/>
    <col min="2" max="2" width="18.28515625" customWidth="1"/>
    <col min="7" max="7" width="13" customWidth="1"/>
    <col min="10" max="10" width="10" customWidth="1"/>
  </cols>
  <sheetData>
    <row r="2" spans="1:10" ht="15.75" thickBot="1"/>
    <row r="3" spans="1:10" ht="16.5" thickTop="1" thickBot="1">
      <c r="A3" s="174" t="s">
        <v>84</v>
      </c>
      <c r="B3" s="175"/>
      <c r="C3" s="175"/>
      <c r="D3" s="175"/>
      <c r="E3" s="175"/>
      <c r="F3" s="175"/>
      <c r="G3" s="175"/>
      <c r="H3" s="175"/>
      <c r="I3" s="175"/>
      <c r="J3" s="176"/>
    </row>
    <row r="4" spans="1:10" ht="16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>
      <c r="A5" s="171" t="s">
        <v>57</v>
      </c>
      <c r="B5" s="67" t="s">
        <v>11</v>
      </c>
      <c r="C5" s="34">
        <v>0</v>
      </c>
      <c r="D5" s="35">
        <v>0</v>
      </c>
      <c r="E5" s="35">
        <v>1</v>
      </c>
      <c r="F5" s="35">
        <v>195</v>
      </c>
      <c r="G5" s="35">
        <v>4082</v>
      </c>
      <c r="H5" s="35">
        <v>0</v>
      </c>
      <c r="I5" s="35">
        <f>SUM(C5:H5)</f>
        <v>4278</v>
      </c>
      <c r="J5" s="95">
        <f t="shared" ref="J5:J18" si="0">I5/4608*100</f>
        <v>92.838541666666657</v>
      </c>
    </row>
    <row r="6" spans="1:10" ht="25.5" thickTop="1" thickBot="1">
      <c r="A6" s="172"/>
      <c r="B6" s="67" t="s">
        <v>72</v>
      </c>
      <c r="C6" s="34">
        <v>0</v>
      </c>
      <c r="D6" s="35">
        <v>0</v>
      </c>
      <c r="E6" s="35">
        <v>0</v>
      </c>
      <c r="F6" s="35">
        <v>14</v>
      </c>
      <c r="G6" s="35">
        <v>231</v>
      </c>
      <c r="H6" s="35">
        <v>0</v>
      </c>
      <c r="I6" s="35">
        <f>SUM(C6:H6)</f>
        <v>245</v>
      </c>
      <c r="J6" s="95">
        <f t="shared" si="0"/>
        <v>5.3168402777777777</v>
      </c>
    </row>
    <row r="7" spans="1:10" ht="37.5" thickTop="1" thickBot="1">
      <c r="A7" s="104" t="s">
        <v>13</v>
      </c>
      <c r="B7" s="67" t="s">
        <v>14</v>
      </c>
      <c r="C7" s="34">
        <f>1+1</f>
        <v>2</v>
      </c>
      <c r="D7" s="35">
        <v>0</v>
      </c>
      <c r="E7" s="38">
        <v>2</v>
      </c>
      <c r="F7" s="38">
        <v>0</v>
      </c>
      <c r="G7" s="38">
        <v>0</v>
      </c>
      <c r="H7" s="35">
        <v>0</v>
      </c>
      <c r="I7" s="38">
        <f>SUM(C7:H7)</f>
        <v>4</v>
      </c>
      <c r="J7" s="95">
        <f t="shared" si="0"/>
        <v>8.6805555555555552E-2</v>
      </c>
    </row>
    <row r="8" spans="1:10" ht="25.5" thickTop="1" thickBot="1">
      <c r="A8" s="171" t="s">
        <v>59</v>
      </c>
      <c r="B8" s="43" t="s">
        <v>39</v>
      </c>
      <c r="C8" s="34">
        <v>0</v>
      </c>
      <c r="D8" s="35">
        <v>0</v>
      </c>
      <c r="E8" s="38">
        <v>1</v>
      </c>
      <c r="F8" s="38">
        <v>0</v>
      </c>
      <c r="G8" s="35">
        <v>0</v>
      </c>
      <c r="H8" s="35">
        <v>0</v>
      </c>
      <c r="I8" s="38">
        <f t="shared" ref="I8:I19" si="1">SUM(C8:H8)</f>
        <v>1</v>
      </c>
      <c r="J8" s="95">
        <f t="shared" si="0"/>
        <v>2.1701388888888888E-2</v>
      </c>
    </row>
    <row r="9" spans="1:10" ht="70.5" customHeight="1" thickTop="1" thickBot="1">
      <c r="A9" s="172"/>
      <c r="B9" s="43" t="s">
        <v>16</v>
      </c>
      <c r="C9" s="34">
        <v>0</v>
      </c>
      <c r="D9" s="35">
        <v>0</v>
      </c>
      <c r="E9" s="38">
        <v>0</v>
      </c>
      <c r="F9" s="38">
        <v>0</v>
      </c>
      <c r="G9" s="38">
        <v>4</v>
      </c>
      <c r="H9" s="35">
        <v>0</v>
      </c>
      <c r="I9" s="38">
        <f t="shared" si="1"/>
        <v>4</v>
      </c>
      <c r="J9" s="95">
        <f t="shared" si="0"/>
        <v>8.6805555555555552E-2</v>
      </c>
    </row>
    <row r="10" spans="1:10" ht="43.5" customHeight="1" thickTop="1" thickBot="1">
      <c r="A10" s="105" t="s">
        <v>48</v>
      </c>
      <c r="B10" s="43" t="s">
        <v>82</v>
      </c>
      <c r="C10" s="34">
        <v>1</v>
      </c>
      <c r="D10" s="35">
        <v>0</v>
      </c>
      <c r="E10" s="38">
        <v>0</v>
      </c>
      <c r="F10" s="35">
        <v>0</v>
      </c>
      <c r="G10" s="35">
        <v>0</v>
      </c>
      <c r="H10" s="35">
        <v>0</v>
      </c>
      <c r="I10" s="38">
        <f t="shared" si="1"/>
        <v>1</v>
      </c>
      <c r="J10" s="95">
        <f t="shared" si="0"/>
        <v>2.1701388888888888E-2</v>
      </c>
    </row>
    <row r="11" spans="1:10" ht="27.75" customHeight="1" thickTop="1" thickBot="1">
      <c r="A11" s="171" t="s">
        <v>19</v>
      </c>
      <c r="B11" s="67" t="s">
        <v>20</v>
      </c>
      <c r="C11" s="34">
        <v>2</v>
      </c>
      <c r="D11" s="35">
        <v>0</v>
      </c>
      <c r="E11" s="38">
        <v>1</v>
      </c>
      <c r="F11" s="35">
        <v>0</v>
      </c>
      <c r="G11" s="35">
        <v>0</v>
      </c>
      <c r="H11" s="35">
        <v>0</v>
      </c>
      <c r="I11" s="38">
        <f t="shared" si="1"/>
        <v>3</v>
      </c>
      <c r="J11" s="95">
        <f t="shared" si="0"/>
        <v>6.5104166666666657E-2</v>
      </c>
    </row>
    <row r="12" spans="1:10" ht="16.5" thickTop="1" thickBot="1">
      <c r="A12" s="172"/>
      <c r="B12" s="67" t="s">
        <v>21</v>
      </c>
      <c r="C12" s="34">
        <f>11+4</f>
        <v>15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35">
        <f t="shared" si="1"/>
        <v>15</v>
      </c>
      <c r="J12" s="95">
        <f t="shared" si="0"/>
        <v>0.32552083333333337</v>
      </c>
    </row>
    <row r="13" spans="1:10" ht="16.5" thickTop="1" thickBot="1">
      <c r="A13" s="105" t="s">
        <v>22</v>
      </c>
      <c r="B13" s="43" t="s">
        <v>23</v>
      </c>
      <c r="C13" s="34">
        <v>1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35">
        <f t="shared" si="1"/>
        <v>2</v>
      </c>
      <c r="J13" s="95">
        <f t="shared" si="0"/>
        <v>4.3402777777777776E-2</v>
      </c>
    </row>
    <row r="14" spans="1:10" ht="16.5" thickTop="1" thickBot="1">
      <c r="A14" s="171" t="s">
        <v>26</v>
      </c>
      <c r="B14" s="67" t="s">
        <v>28</v>
      </c>
      <c r="C14" s="34">
        <f>43+1+1</f>
        <v>45</v>
      </c>
      <c r="D14" s="35">
        <v>0</v>
      </c>
      <c r="E14" s="38">
        <v>1</v>
      </c>
      <c r="F14" s="35">
        <v>0</v>
      </c>
      <c r="G14" s="35">
        <v>0</v>
      </c>
      <c r="H14" s="35">
        <v>0</v>
      </c>
      <c r="I14" s="38">
        <f t="shared" si="1"/>
        <v>46</v>
      </c>
      <c r="J14" s="95">
        <f t="shared" si="0"/>
        <v>0.99826388888888884</v>
      </c>
    </row>
    <row r="15" spans="1:10" ht="25.5" thickTop="1" thickBot="1">
      <c r="A15" s="173"/>
      <c r="B15" s="67" t="s">
        <v>27</v>
      </c>
      <c r="C15" s="34">
        <v>0</v>
      </c>
      <c r="D15" s="35">
        <v>0</v>
      </c>
      <c r="E15" s="35">
        <v>0</v>
      </c>
      <c r="F15" s="35">
        <v>0</v>
      </c>
      <c r="G15" s="38">
        <v>2</v>
      </c>
      <c r="H15" s="35">
        <v>0</v>
      </c>
      <c r="I15" s="38">
        <f t="shared" si="1"/>
        <v>2</v>
      </c>
      <c r="J15" s="95">
        <f t="shared" si="0"/>
        <v>4.3402777777777776E-2</v>
      </c>
    </row>
    <row r="16" spans="1:10" ht="25.5" thickTop="1" thickBot="1">
      <c r="A16" s="172"/>
      <c r="B16" s="43" t="s">
        <v>83</v>
      </c>
      <c r="C16" s="34">
        <v>1</v>
      </c>
      <c r="D16" s="35">
        <v>0</v>
      </c>
      <c r="E16" s="35">
        <v>0</v>
      </c>
      <c r="F16" s="35">
        <v>0</v>
      </c>
      <c r="G16" s="35">
        <v>0</v>
      </c>
      <c r="H16" s="35">
        <v>0</v>
      </c>
      <c r="I16" s="38">
        <f t="shared" si="1"/>
        <v>1</v>
      </c>
      <c r="J16" s="95">
        <f t="shared" si="0"/>
        <v>2.1701388888888888E-2</v>
      </c>
    </row>
    <row r="17" spans="1:10" ht="48" customHeight="1" thickTop="1" thickBot="1">
      <c r="A17" s="43" t="s">
        <v>29</v>
      </c>
      <c r="B17" s="43" t="s">
        <v>30</v>
      </c>
      <c r="C17" s="34">
        <v>5</v>
      </c>
      <c r="D17" s="35">
        <v>0</v>
      </c>
      <c r="E17" s="35">
        <v>0</v>
      </c>
      <c r="F17" s="35">
        <v>0</v>
      </c>
      <c r="G17" s="35">
        <v>0</v>
      </c>
      <c r="H17" s="35">
        <v>0</v>
      </c>
      <c r="I17" s="38">
        <f t="shared" si="1"/>
        <v>5</v>
      </c>
      <c r="J17" s="95">
        <f t="shared" si="0"/>
        <v>0.10850694444444445</v>
      </c>
    </row>
    <row r="18" spans="1:10" ht="57" customHeight="1" thickTop="1" thickBot="1">
      <c r="A18" s="43" t="s">
        <v>31</v>
      </c>
      <c r="B18" s="43" t="s">
        <v>32</v>
      </c>
      <c r="C18" s="34">
        <v>0</v>
      </c>
      <c r="D18" s="35">
        <v>0</v>
      </c>
      <c r="E18" s="35">
        <v>0</v>
      </c>
      <c r="F18" s="35">
        <v>0</v>
      </c>
      <c r="G18" s="35">
        <v>0</v>
      </c>
      <c r="H18" s="38">
        <v>1</v>
      </c>
      <c r="I18" s="38">
        <f t="shared" si="1"/>
        <v>1</v>
      </c>
      <c r="J18" s="95">
        <f t="shared" si="0"/>
        <v>2.1701388888888888E-2</v>
      </c>
    </row>
    <row r="19" spans="1:10" ht="16.5" thickTop="1" thickBot="1">
      <c r="A19" s="158" t="s">
        <v>38</v>
      </c>
      <c r="B19" s="158"/>
      <c r="C19" s="39">
        <f t="shared" ref="C19:H19" si="2">SUM(C5:C18)</f>
        <v>72</v>
      </c>
      <c r="D19" s="39">
        <f t="shared" si="2"/>
        <v>0</v>
      </c>
      <c r="E19" s="39">
        <f t="shared" si="2"/>
        <v>7</v>
      </c>
      <c r="F19" s="39">
        <f t="shared" si="2"/>
        <v>209</v>
      </c>
      <c r="G19" s="39">
        <f t="shared" si="2"/>
        <v>4319</v>
      </c>
      <c r="H19" s="39">
        <f t="shared" si="2"/>
        <v>1</v>
      </c>
      <c r="I19" s="38">
        <f t="shared" si="1"/>
        <v>4608</v>
      </c>
      <c r="J19" s="97">
        <f>I19/4608*100</f>
        <v>100</v>
      </c>
    </row>
    <row r="20" spans="1:10" ht="15.75" thickTop="1"/>
    <row r="21" spans="1:10">
      <c r="A21" s="77" t="s">
        <v>55</v>
      </c>
      <c r="B21" s="77" t="s">
        <v>60</v>
      </c>
    </row>
  </sheetData>
  <mergeCells count="6">
    <mergeCell ref="A19:B19"/>
    <mergeCell ref="A3:J3"/>
    <mergeCell ref="A5:A6"/>
    <mergeCell ref="A8:A9"/>
    <mergeCell ref="A11:A12"/>
    <mergeCell ref="A14:A1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8"/>
  <sheetViews>
    <sheetView workbookViewId="0">
      <selection activeCell="A3" sqref="A3:J3"/>
    </sheetView>
  </sheetViews>
  <sheetFormatPr baseColWidth="10" defaultRowHeight="15"/>
  <cols>
    <col min="1" max="1" width="17.5703125" customWidth="1"/>
    <col min="2" max="2" width="21.85546875" customWidth="1"/>
    <col min="9" max="9" width="10.5703125" customWidth="1"/>
    <col min="10" max="10" width="6.85546875" customWidth="1"/>
  </cols>
  <sheetData>
    <row r="3" spans="1:10" ht="19.5" customHeight="1">
      <c r="A3" s="177" t="s">
        <v>85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ht="24.75" thickBot="1">
      <c r="A4" s="107" t="s">
        <v>0</v>
      </c>
      <c r="B4" s="107" t="s">
        <v>1</v>
      </c>
      <c r="C4" s="107" t="s">
        <v>2</v>
      </c>
      <c r="D4" s="107" t="s">
        <v>3</v>
      </c>
      <c r="E4" s="107" t="s">
        <v>4</v>
      </c>
      <c r="F4" s="107" t="s">
        <v>5</v>
      </c>
      <c r="G4" s="107" t="s">
        <v>6</v>
      </c>
      <c r="H4" s="107" t="s">
        <v>7</v>
      </c>
      <c r="I4" s="107" t="s">
        <v>8</v>
      </c>
      <c r="J4" s="107" t="s">
        <v>9</v>
      </c>
    </row>
    <row r="5" spans="1:10" ht="25.5" thickTop="1" thickBot="1">
      <c r="A5" s="109" t="s">
        <v>34</v>
      </c>
      <c r="B5" s="110" t="s">
        <v>35</v>
      </c>
      <c r="C5" s="34">
        <v>0</v>
      </c>
      <c r="D5" s="34">
        <v>0</v>
      </c>
      <c r="E5" s="34">
        <v>0</v>
      </c>
      <c r="F5" s="38">
        <v>0</v>
      </c>
      <c r="G5" s="38">
        <v>1</v>
      </c>
      <c r="H5" s="35">
        <v>0</v>
      </c>
      <c r="I5" s="35">
        <f>SUM(C5:H5)</f>
        <v>1</v>
      </c>
      <c r="J5" s="95">
        <f t="shared" ref="J5:J15" si="0">I5/4704*100</f>
        <v>2.1258503401360544E-2</v>
      </c>
    </row>
    <row r="6" spans="1:10" ht="37.5" thickTop="1" thickBot="1">
      <c r="A6" s="171" t="s">
        <v>57</v>
      </c>
      <c r="B6" s="67" t="s">
        <v>11</v>
      </c>
      <c r="C6" s="34">
        <v>0</v>
      </c>
      <c r="D6" s="34">
        <v>0</v>
      </c>
      <c r="E6" s="34">
        <v>0</v>
      </c>
      <c r="F6" s="35">
        <v>165</v>
      </c>
      <c r="G6" s="35">
        <v>4180</v>
      </c>
      <c r="H6" s="35">
        <v>0</v>
      </c>
      <c r="I6" s="35">
        <f>SUM(C6:H6)</f>
        <v>4345</v>
      </c>
      <c r="J6" s="95">
        <f t="shared" si="0"/>
        <v>92.368197278911566</v>
      </c>
    </row>
    <row r="7" spans="1:10" ht="25.5" thickTop="1" thickBot="1">
      <c r="A7" s="172"/>
      <c r="B7" s="67" t="s">
        <v>72</v>
      </c>
      <c r="C7" s="34">
        <v>0</v>
      </c>
      <c r="D7" s="34">
        <v>0</v>
      </c>
      <c r="E7" s="34">
        <v>0</v>
      </c>
      <c r="F7" s="35">
        <v>20</v>
      </c>
      <c r="G7" s="35">
        <v>256</v>
      </c>
      <c r="H7" s="35">
        <v>0</v>
      </c>
      <c r="I7" s="35">
        <f>SUM(C7:H7)</f>
        <v>276</v>
      </c>
      <c r="J7" s="95">
        <f t="shared" si="0"/>
        <v>5.8673469387755102</v>
      </c>
    </row>
    <row r="8" spans="1:10" ht="37.5" thickTop="1" thickBot="1">
      <c r="A8" s="106" t="s">
        <v>13</v>
      </c>
      <c r="B8" s="67" t="s">
        <v>14</v>
      </c>
      <c r="C8" s="34">
        <f>9+1</f>
        <v>10</v>
      </c>
      <c r="D8" s="34">
        <v>0</v>
      </c>
      <c r="E8" s="34">
        <v>0</v>
      </c>
      <c r="F8" s="38">
        <v>0</v>
      </c>
      <c r="G8" s="38">
        <v>0</v>
      </c>
      <c r="H8" s="35">
        <v>0</v>
      </c>
      <c r="I8" s="38">
        <f>SUM(C8:H8)</f>
        <v>10</v>
      </c>
      <c r="J8" s="95">
        <f t="shared" si="0"/>
        <v>0.21258503401360546</v>
      </c>
    </row>
    <row r="9" spans="1:10" ht="79.5" customHeight="1" thickTop="1" thickBot="1">
      <c r="A9" s="106" t="s">
        <v>59</v>
      </c>
      <c r="B9" s="43" t="s">
        <v>16</v>
      </c>
      <c r="C9" s="34">
        <v>0</v>
      </c>
      <c r="D9" s="34">
        <v>0</v>
      </c>
      <c r="E9" s="34">
        <v>0</v>
      </c>
      <c r="F9" s="38">
        <v>0</v>
      </c>
      <c r="G9" s="38">
        <v>9</v>
      </c>
      <c r="H9" s="35">
        <v>0</v>
      </c>
      <c r="I9" s="38">
        <f t="shared" ref="I9:I15" si="1">SUM(C9:H9)</f>
        <v>9</v>
      </c>
      <c r="J9" s="95">
        <f t="shared" si="0"/>
        <v>0.19132653061224489</v>
      </c>
    </row>
    <row r="10" spans="1:10" ht="31.5" customHeight="1" thickTop="1" thickBot="1">
      <c r="A10" s="67" t="s">
        <v>19</v>
      </c>
      <c r="B10" s="67" t="s">
        <v>21</v>
      </c>
      <c r="C10" s="34">
        <v>3</v>
      </c>
      <c r="D10" s="34">
        <v>0</v>
      </c>
      <c r="E10" s="34">
        <v>0</v>
      </c>
      <c r="F10" s="38">
        <v>0</v>
      </c>
      <c r="G10" s="35">
        <v>0</v>
      </c>
      <c r="H10" s="35">
        <v>0</v>
      </c>
      <c r="I10" s="35">
        <f t="shared" si="1"/>
        <v>3</v>
      </c>
      <c r="J10" s="95">
        <f t="shared" si="0"/>
        <v>6.3775510204081634E-2</v>
      </c>
    </row>
    <row r="11" spans="1:10" ht="16.5" thickTop="1" thickBot="1">
      <c r="A11" s="67" t="s">
        <v>22</v>
      </c>
      <c r="B11" s="43" t="s">
        <v>23</v>
      </c>
      <c r="C11" s="34">
        <v>4</v>
      </c>
      <c r="D11" s="34">
        <v>0</v>
      </c>
      <c r="E11" s="34">
        <v>0</v>
      </c>
      <c r="F11" s="38">
        <v>0</v>
      </c>
      <c r="G11" s="38">
        <v>0</v>
      </c>
      <c r="H11" s="35">
        <v>0</v>
      </c>
      <c r="I11" s="35">
        <f t="shared" si="1"/>
        <v>4</v>
      </c>
      <c r="J11" s="95">
        <f t="shared" si="0"/>
        <v>8.5034013605442174E-2</v>
      </c>
    </row>
    <row r="12" spans="1:10" ht="16.5" thickTop="1" thickBot="1">
      <c r="A12" s="171" t="s">
        <v>26</v>
      </c>
      <c r="B12" s="67" t="s">
        <v>28</v>
      </c>
      <c r="C12" s="34">
        <f>49+1</f>
        <v>50</v>
      </c>
      <c r="D12" s="38">
        <v>1</v>
      </c>
      <c r="E12" s="38">
        <v>1</v>
      </c>
      <c r="F12" s="38">
        <v>0</v>
      </c>
      <c r="G12" s="38">
        <v>0</v>
      </c>
      <c r="H12" s="35">
        <v>0</v>
      </c>
      <c r="I12" s="38">
        <f t="shared" si="1"/>
        <v>52</v>
      </c>
      <c r="J12" s="95">
        <f t="shared" si="0"/>
        <v>1.1054421768707483</v>
      </c>
    </row>
    <row r="13" spans="1:10" ht="25.5" thickTop="1" thickBot="1">
      <c r="A13" s="173"/>
      <c r="B13" s="67" t="s">
        <v>27</v>
      </c>
      <c r="C13" s="34">
        <v>0</v>
      </c>
      <c r="D13" s="38">
        <v>0</v>
      </c>
      <c r="E13" s="38">
        <v>0</v>
      </c>
      <c r="F13" s="38">
        <v>0</v>
      </c>
      <c r="G13" s="38">
        <v>1</v>
      </c>
      <c r="H13" s="35">
        <v>0</v>
      </c>
      <c r="I13" s="38">
        <f t="shared" si="1"/>
        <v>1</v>
      </c>
      <c r="J13" s="95">
        <f t="shared" si="0"/>
        <v>2.1258503401360544E-2</v>
      </c>
    </row>
    <row r="14" spans="1:10" ht="16.5" thickTop="1" thickBot="1">
      <c r="A14" s="172"/>
      <c r="B14" s="43" t="s">
        <v>77</v>
      </c>
      <c r="C14" s="34">
        <v>1</v>
      </c>
      <c r="D14" s="38">
        <v>0</v>
      </c>
      <c r="E14" s="38">
        <v>0</v>
      </c>
      <c r="F14" s="38">
        <v>0</v>
      </c>
      <c r="G14" s="38">
        <v>0</v>
      </c>
      <c r="H14" s="35">
        <v>0</v>
      </c>
      <c r="I14" s="38">
        <f t="shared" si="1"/>
        <v>1</v>
      </c>
      <c r="J14" s="95">
        <f t="shared" si="0"/>
        <v>2.1258503401360544E-2</v>
      </c>
    </row>
    <row r="15" spans="1:10" ht="25.5" thickTop="1" thickBot="1">
      <c r="A15" s="43" t="s">
        <v>29</v>
      </c>
      <c r="B15" s="43" t="s">
        <v>30</v>
      </c>
      <c r="C15" s="34">
        <v>1</v>
      </c>
      <c r="D15" s="38">
        <v>0</v>
      </c>
      <c r="E15" s="38">
        <v>0</v>
      </c>
      <c r="F15" s="38">
        <v>0</v>
      </c>
      <c r="G15" s="38">
        <v>0</v>
      </c>
      <c r="H15" s="38">
        <v>1</v>
      </c>
      <c r="I15" s="38">
        <f t="shared" si="1"/>
        <v>2</v>
      </c>
      <c r="J15" s="95">
        <f t="shared" si="0"/>
        <v>4.2517006802721087E-2</v>
      </c>
    </row>
    <row r="16" spans="1:10" ht="16.5" thickTop="1" thickBot="1">
      <c r="A16" s="158" t="s">
        <v>38</v>
      </c>
      <c r="B16" s="158"/>
      <c r="C16" s="39">
        <f>SUM(C6:C15)</f>
        <v>69</v>
      </c>
      <c r="D16" s="39">
        <f>SUM(D6:D15)</f>
        <v>1</v>
      </c>
      <c r="E16" s="39">
        <f>SUM(E6:E15)</f>
        <v>1</v>
      </c>
      <c r="F16" s="39">
        <f>SUM(F6:F15)</f>
        <v>185</v>
      </c>
      <c r="G16" s="39">
        <f>SUM(G5:G15)</f>
        <v>4447</v>
      </c>
      <c r="H16" s="39">
        <f>SUM(H6:H15)</f>
        <v>1</v>
      </c>
      <c r="I16" s="38">
        <f>SUM(C16:H16)</f>
        <v>4704</v>
      </c>
      <c r="J16" s="97">
        <f>I16/4704*100</f>
        <v>100</v>
      </c>
    </row>
    <row r="17" spans="1:2" ht="15.75" thickTop="1"/>
    <row r="18" spans="1:2">
      <c r="A18" s="77" t="s">
        <v>55</v>
      </c>
      <c r="B18" s="77" t="s">
        <v>60</v>
      </c>
    </row>
  </sheetData>
  <mergeCells count="4">
    <mergeCell ref="A6:A7"/>
    <mergeCell ref="A12:A14"/>
    <mergeCell ref="A16:B16"/>
    <mergeCell ref="A3:J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A19" sqref="A19:B19"/>
    </sheetView>
  </sheetViews>
  <sheetFormatPr baseColWidth="10" defaultRowHeight="15"/>
  <cols>
    <col min="1" max="1" width="20.85546875" customWidth="1"/>
    <col min="2" max="2" width="21.28515625" customWidth="1"/>
    <col min="7" max="7" width="14.140625" customWidth="1"/>
    <col min="10" max="10" width="10.7109375" customWidth="1"/>
  </cols>
  <sheetData>
    <row r="3" spans="1:10" ht="15.75" thickBot="1">
      <c r="A3" s="177" t="s">
        <v>86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ht="16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1.5" customHeight="1" thickTop="1" thickBot="1">
      <c r="A5" s="109" t="s">
        <v>34</v>
      </c>
      <c r="B5" s="110" t="s">
        <v>35</v>
      </c>
      <c r="C5" s="111">
        <v>0</v>
      </c>
      <c r="D5" s="111">
        <v>0</v>
      </c>
      <c r="E5" s="111">
        <v>0</v>
      </c>
      <c r="F5" s="113">
        <v>0</v>
      </c>
      <c r="G5" s="113">
        <v>1</v>
      </c>
      <c r="H5" s="111">
        <v>0</v>
      </c>
      <c r="I5" s="111">
        <f>SUM(C5:H5)</f>
        <v>1</v>
      </c>
      <c r="J5" s="112">
        <f t="shared" ref="J5:J16" si="0">I5/4674*100</f>
        <v>2.1394950791613181E-2</v>
      </c>
    </row>
    <row r="6" spans="1:10" ht="37.5" thickTop="1" thickBot="1">
      <c r="A6" s="171" t="s">
        <v>57</v>
      </c>
      <c r="B6" s="67" t="s">
        <v>11</v>
      </c>
      <c r="C6" s="111">
        <v>0</v>
      </c>
      <c r="D6" s="111">
        <v>0</v>
      </c>
      <c r="E6" s="111">
        <v>0</v>
      </c>
      <c r="F6" s="111">
        <v>225</v>
      </c>
      <c r="G6" s="111">
        <v>4020</v>
      </c>
      <c r="H6" s="113">
        <v>0</v>
      </c>
      <c r="I6" s="111">
        <f>SUM(C6:H6)</f>
        <v>4245</v>
      </c>
      <c r="J6" s="112">
        <f t="shared" si="0"/>
        <v>90.821566110397939</v>
      </c>
    </row>
    <row r="7" spans="1:10" ht="25.5" thickTop="1" thickBot="1">
      <c r="A7" s="172"/>
      <c r="B7" s="67" t="s">
        <v>72</v>
      </c>
      <c r="C7" s="111">
        <v>0</v>
      </c>
      <c r="D7" s="111">
        <v>0</v>
      </c>
      <c r="E7" s="111">
        <v>0</v>
      </c>
      <c r="F7" s="111">
        <v>14</v>
      </c>
      <c r="G7" s="111">
        <v>332</v>
      </c>
      <c r="H7" s="113">
        <v>0</v>
      </c>
      <c r="I7" s="111">
        <f>SUM(C7:H7)</f>
        <v>346</v>
      </c>
      <c r="J7" s="112">
        <f t="shared" si="0"/>
        <v>7.4026529738981601</v>
      </c>
    </row>
    <row r="8" spans="1:10" ht="25.5" thickTop="1" thickBot="1">
      <c r="A8" s="108" t="s">
        <v>13</v>
      </c>
      <c r="B8" s="67" t="s">
        <v>14</v>
      </c>
      <c r="C8" s="111">
        <f>4+1+2</f>
        <v>7</v>
      </c>
      <c r="D8" s="111">
        <v>0</v>
      </c>
      <c r="E8" s="113">
        <v>1</v>
      </c>
      <c r="F8" s="113">
        <v>0</v>
      </c>
      <c r="G8" s="113">
        <v>0</v>
      </c>
      <c r="H8" s="113">
        <v>0</v>
      </c>
      <c r="I8" s="113">
        <f>SUM(C8:H8)</f>
        <v>8</v>
      </c>
      <c r="J8" s="112">
        <f t="shared" si="0"/>
        <v>0.17115960633290545</v>
      </c>
    </row>
    <row r="9" spans="1:10" ht="25.5" thickTop="1" thickBot="1">
      <c r="A9" s="171" t="s">
        <v>59</v>
      </c>
      <c r="B9" s="43" t="s">
        <v>39</v>
      </c>
      <c r="C9" s="111">
        <v>1</v>
      </c>
      <c r="D9" s="111">
        <v>0</v>
      </c>
      <c r="E9" s="113">
        <v>0</v>
      </c>
      <c r="F9" s="113">
        <v>0</v>
      </c>
      <c r="G9" s="113">
        <v>0</v>
      </c>
      <c r="H9" s="113">
        <v>0</v>
      </c>
      <c r="I9" s="113">
        <f>SUM(C9:H9)</f>
        <v>1</v>
      </c>
      <c r="J9" s="112">
        <f t="shared" si="0"/>
        <v>2.1394950791613181E-2</v>
      </c>
    </row>
    <row r="10" spans="1:10" ht="63.75" customHeight="1" thickTop="1" thickBot="1">
      <c r="A10" s="172"/>
      <c r="B10" s="43" t="s">
        <v>16</v>
      </c>
      <c r="C10" s="111">
        <v>1</v>
      </c>
      <c r="D10" s="111">
        <v>0</v>
      </c>
      <c r="E10" s="113">
        <v>1</v>
      </c>
      <c r="F10" s="113">
        <v>0</v>
      </c>
      <c r="G10" s="113">
        <v>3</v>
      </c>
      <c r="H10" s="113">
        <v>0</v>
      </c>
      <c r="I10" s="113">
        <f t="shared" ref="I10:I16" si="1">SUM(C10:H10)</f>
        <v>5</v>
      </c>
      <c r="J10" s="112">
        <f t="shared" si="0"/>
        <v>0.10697475395806591</v>
      </c>
    </row>
    <row r="11" spans="1:10" ht="16.5" thickTop="1" thickBot="1">
      <c r="A11" s="171" t="s">
        <v>19</v>
      </c>
      <c r="B11" s="43" t="s">
        <v>20</v>
      </c>
      <c r="C11" s="111">
        <v>5</v>
      </c>
      <c r="D11" s="111">
        <v>0</v>
      </c>
      <c r="E11" s="113">
        <v>1</v>
      </c>
      <c r="F11" s="113">
        <v>0</v>
      </c>
      <c r="G11" s="113">
        <v>1</v>
      </c>
      <c r="H11" s="113">
        <v>0</v>
      </c>
      <c r="I11" s="113">
        <f t="shared" si="1"/>
        <v>7</v>
      </c>
      <c r="J11" s="112">
        <f t="shared" si="0"/>
        <v>0.14976465554129226</v>
      </c>
    </row>
    <row r="12" spans="1:10" ht="16.5" thickTop="1" thickBot="1">
      <c r="A12" s="172"/>
      <c r="B12" s="67" t="s">
        <v>21</v>
      </c>
      <c r="C12" s="111">
        <v>4</v>
      </c>
      <c r="D12" s="111">
        <v>0</v>
      </c>
      <c r="E12" s="111">
        <v>0</v>
      </c>
      <c r="F12" s="111">
        <v>0</v>
      </c>
      <c r="G12" s="111">
        <v>0</v>
      </c>
      <c r="H12" s="113">
        <v>0</v>
      </c>
      <c r="I12" s="111">
        <f t="shared" si="1"/>
        <v>4</v>
      </c>
      <c r="J12" s="112">
        <f t="shared" si="0"/>
        <v>8.5579803166452723E-2</v>
      </c>
    </row>
    <row r="13" spans="1:10" ht="16.5" thickTop="1" thickBot="1">
      <c r="A13" s="67" t="s">
        <v>22</v>
      </c>
      <c r="B13" s="43" t="s">
        <v>23</v>
      </c>
      <c r="C13" s="111">
        <v>1</v>
      </c>
      <c r="D13" s="111">
        <v>0</v>
      </c>
      <c r="E13" s="113">
        <v>0</v>
      </c>
      <c r="F13" s="113">
        <v>0</v>
      </c>
      <c r="G13" s="113">
        <v>0</v>
      </c>
      <c r="H13" s="113">
        <v>0</v>
      </c>
      <c r="I13" s="111">
        <f t="shared" si="1"/>
        <v>1</v>
      </c>
      <c r="J13" s="112">
        <f t="shared" si="0"/>
        <v>2.1394950791613181E-2</v>
      </c>
    </row>
    <row r="14" spans="1:10" ht="16.5" thickTop="1" thickBot="1">
      <c r="A14" s="171" t="s">
        <v>26</v>
      </c>
      <c r="B14" s="67" t="s">
        <v>28</v>
      </c>
      <c r="C14" s="111">
        <f>47+1+1+1</f>
        <v>50</v>
      </c>
      <c r="D14" s="113">
        <v>3</v>
      </c>
      <c r="E14" s="113">
        <v>0</v>
      </c>
      <c r="F14" s="113">
        <v>0</v>
      </c>
      <c r="G14" s="113">
        <v>0</v>
      </c>
      <c r="H14" s="113">
        <v>0</v>
      </c>
      <c r="I14" s="113">
        <f t="shared" si="1"/>
        <v>53</v>
      </c>
      <c r="J14" s="112">
        <f t="shared" si="0"/>
        <v>1.1339323919554984</v>
      </c>
    </row>
    <row r="15" spans="1:10" ht="16.5" thickTop="1" thickBot="1">
      <c r="A15" s="172"/>
      <c r="B15" s="43" t="s">
        <v>77</v>
      </c>
      <c r="C15" s="111">
        <f>1+1</f>
        <v>2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f t="shared" si="1"/>
        <v>2</v>
      </c>
      <c r="J15" s="112">
        <f t="shared" si="0"/>
        <v>4.2789901583226361E-2</v>
      </c>
    </row>
    <row r="16" spans="1:10" ht="25.5" thickTop="1" thickBot="1">
      <c r="A16" s="43" t="s">
        <v>31</v>
      </c>
      <c r="B16" s="43" t="s">
        <v>32</v>
      </c>
      <c r="C16" s="111">
        <v>1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f t="shared" si="1"/>
        <v>1</v>
      </c>
      <c r="J16" s="112">
        <f t="shared" si="0"/>
        <v>2.1394950791613181E-2</v>
      </c>
    </row>
    <row r="17" spans="1:10" ht="16.5" thickTop="1" thickBot="1">
      <c r="A17" s="158" t="s">
        <v>38</v>
      </c>
      <c r="B17" s="158"/>
      <c r="C17" s="38">
        <f>SUM(C6:C16)</f>
        <v>72</v>
      </c>
      <c r="D17" s="38">
        <f>SUM(D6:D16)</f>
        <v>3</v>
      </c>
      <c r="E17" s="38">
        <f>SUM(E6:E16)</f>
        <v>3</v>
      </c>
      <c r="F17" s="38">
        <f>SUM(F5:F16)</f>
        <v>239</v>
      </c>
      <c r="G17" s="38">
        <f>SUM(G5:G16)</f>
        <v>4357</v>
      </c>
      <c r="H17" s="38">
        <f>SUM(H5:H16)</f>
        <v>0</v>
      </c>
      <c r="I17" s="38">
        <f>SUM(C17:H17)</f>
        <v>4674</v>
      </c>
      <c r="J17" s="68">
        <f>I17/4674*100</f>
        <v>100</v>
      </c>
    </row>
    <row r="18" spans="1:10" ht="15.75" thickTop="1"/>
    <row r="19" spans="1:10">
      <c r="A19" s="77" t="s">
        <v>55</v>
      </c>
      <c r="B19" s="77" t="s">
        <v>60</v>
      </c>
    </row>
  </sheetData>
  <mergeCells count="6">
    <mergeCell ref="A17:B17"/>
    <mergeCell ref="A3:J3"/>
    <mergeCell ref="A6:A7"/>
    <mergeCell ref="A9:A10"/>
    <mergeCell ref="A11:A12"/>
    <mergeCell ref="A14:A15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F22" sqref="F22"/>
    </sheetView>
  </sheetViews>
  <sheetFormatPr baseColWidth="10" defaultRowHeight="15"/>
  <cols>
    <col min="1" max="1" width="15.7109375" customWidth="1"/>
    <col min="2" max="2" width="17.5703125" customWidth="1"/>
    <col min="7" max="7" width="14" customWidth="1"/>
    <col min="10" max="10" width="8.140625" customWidth="1"/>
  </cols>
  <sheetData>
    <row r="3" spans="1:10" ht="15.75" thickBot="1">
      <c r="A3" s="177" t="s">
        <v>88</v>
      </c>
      <c r="B3" s="177"/>
      <c r="C3" s="177"/>
      <c r="D3" s="177"/>
      <c r="E3" s="177"/>
      <c r="F3" s="177"/>
      <c r="G3" s="177"/>
      <c r="H3" s="177"/>
      <c r="I3" s="177"/>
      <c r="J3" s="177"/>
    </row>
    <row r="4" spans="1:10" ht="16.5" thickTop="1" thickBot="1">
      <c r="A4" s="67" t="s">
        <v>0</v>
      </c>
      <c r="B4" s="67" t="s">
        <v>1</v>
      </c>
      <c r="C4" s="67" t="s">
        <v>2</v>
      </c>
      <c r="D4" s="67" t="s">
        <v>3</v>
      </c>
      <c r="E4" s="67" t="s">
        <v>4</v>
      </c>
      <c r="F4" s="67" t="s">
        <v>5</v>
      </c>
      <c r="G4" s="67" t="s">
        <v>6</v>
      </c>
      <c r="H4" s="67" t="s">
        <v>7</v>
      </c>
      <c r="I4" s="67" t="s">
        <v>8</v>
      </c>
      <c r="J4" s="67" t="s">
        <v>9</v>
      </c>
    </row>
    <row r="5" spans="1:10" ht="37.5" thickTop="1" thickBot="1">
      <c r="A5" s="178" t="s">
        <v>57</v>
      </c>
      <c r="B5" s="67" t="s">
        <v>11</v>
      </c>
      <c r="C5" s="35">
        <v>0</v>
      </c>
      <c r="D5" s="35">
        <v>0</v>
      </c>
      <c r="E5" s="35">
        <v>0</v>
      </c>
      <c r="F5" s="35">
        <v>251</v>
      </c>
      <c r="G5" s="35">
        <v>4356</v>
      </c>
      <c r="H5" s="35">
        <v>0</v>
      </c>
      <c r="I5" s="111">
        <f>SUM(C5:H5)</f>
        <v>4607</v>
      </c>
      <c r="J5" s="66">
        <f t="shared" ref="J5:J16" si="0">I5/4994*100</f>
        <v>92.25070084100922</v>
      </c>
    </row>
    <row r="6" spans="1:10" ht="25.5" thickTop="1" thickBot="1">
      <c r="A6" s="178"/>
      <c r="B6" s="67" t="s">
        <v>72</v>
      </c>
      <c r="C6" s="35">
        <f>1+1</f>
        <v>2</v>
      </c>
      <c r="D6" s="35">
        <v>0</v>
      </c>
      <c r="E6" s="35">
        <v>0</v>
      </c>
      <c r="F6" s="35">
        <v>23</v>
      </c>
      <c r="G6" s="35">
        <v>281</v>
      </c>
      <c r="H6" s="35">
        <v>0</v>
      </c>
      <c r="I6" s="111">
        <f>SUM(C6:H6)</f>
        <v>306</v>
      </c>
      <c r="J6" s="66">
        <f t="shared" si="0"/>
        <v>6.1273528233880654</v>
      </c>
    </row>
    <row r="7" spans="1:10" ht="37.5" thickTop="1" thickBot="1">
      <c r="A7" s="67" t="s">
        <v>13</v>
      </c>
      <c r="B7" s="67" t="s">
        <v>14</v>
      </c>
      <c r="C7" s="35">
        <f>1+3</f>
        <v>4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113">
        <f>SUM(C7:H7)</f>
        <v>4</v>
      </c>
      <c r="J7" s="66">
        <f t="shared" si="0"/>
        <v>8.009611533840609E-2</v>
      </c>
    </row>
    <row r="8" spans="1:10" ht="61.5" thickTop="1" thickBot="1">
      <c r="A8" s="67" t="s">
        <v>59</v>
      </c>
      <c r="B8" s="43" t="s">
        <v>16</v>
      </c>
      <c r="C8" s="35">
        <v>1</v>
      </c>
      <c r="D8" s="35">
        <v>0</v>
      </c>
      <c r="E8" s="35">
        <v>0</v>
      </c>
      <c r="F8" s="35">
        <v>0</v>
      </c>
      <c r="G8" s="38">
        <v>4</v>
      </c>
      <c r="H8" s="35">
        <v>0</v>
      </c>
      <c r="I8" s="113">
        <f t="shared" ref="I8:I16" si="1">SUM(C8:H8)</f>
        <v>5</v>
      </c>
      <c r="J8" s="66">
        <f t="shared" si="0"/>
        <v>0.1001201441730076</v>
      </c>
    </row>
    <row r="9" spans="1:10" ht="37.5" thickTop="1" thickBot="1">
      <c r="A9" s="67" t="s">
        <v>17</v>
      </c>
      <c r="B9" s="43" t="s">
        <v>18</v>
      </c>
      <c r="C9" s="35">
        <v>1</v>
      </c>
      <c r="D9" s="35">
        <v>0</v>
      </c>
      <c r="E9" s="35">
        <v>0</v>
      </c>
      <c r="F9" s="35">
        <v>0</v>
      </c>
      <c r="G9" s="38">
        <v>1</v>
      </c>
      <c r="H9" s="35">
        <v>0</v>
      </c>
      <c r="I9" s="113">
        <f t="shared" si="1"/>
        <v>2</v>
      </c>
      <c r="J9" s="66">
        <f t="shared" si="0"/>
        <v>4.0048057669203045E-2</v>
      </c>
    </row>
    <row r="10" spans="1:10" ht="30.75" customHeight="1" thickTop="1" thickBot="1">
      <c r="A10" s="178" t="s">
        <v>19</v>
      </c>
      <c r="B10" s="43" t="s">
        <v>20</v>
      </c>
      <c r="C10" s="35">
        <v>3</v>
      </c>
      <c r="D10" s="35">
        <v>0</v>
      </c>
      <c r="E10" s="38">
        <v>1</v>
      </c>
      <c r="F10" s="35">
        <v>0</v>
      </c>
      <c r="G10" s="35">
        <v>0</v>
      </c>
      <c r="H10" s="35">
        <v>0</v>
      </c>
      <c r="I10" s="113">
        <f t="shared" si="1"/>
        <v>4</v>
      </c>
      <c r="J10" s="66">
        <f t="shared" si="0"/>
        <v>8.009611533840609E-2</v>
      </c>
    </row>
    <row r="11" spans="1:10" ht="16.5" thickTop="1" thickBot="1">
      <c r="A11" s="178"/>
      <c r="B11" s="67" t="s">
        <v>21</v>
      </c>
      <c r="C11" s="35">
        <f>9+1+1</f>
        <v>11</v>
      </c>
      <c r="D11" s="35">
        <v>0</v>
      </c>
      <c r="E11" s="35">
        <v>0</v>
      </c>
      <c r="F11" s="35">
        <v>0</v>
      </c>
      <c r="G11" s="35">
        <v>0</v>
      </c>
      <c r="H11" s="35">
        <v>0</v>
      </c>
      <c r="I11" s="111">
        <f t="shared" si="1"/>
        <v>11</v>
      </c>
      <c r="J11" s="66">
        <f t="shared" si="0"/>
        <v>0.22026431718061676</v>
      </c>
    </row>
    <row r="12" spans="1:10" ht="16.5" thickTop="1" thickBot="1">
      <c r="A12" s="67" t="s">
        <v>22</v>
      </c>
      <c r="B12" s="43" t="s">
        <v>23</v>
      </c>
      <c r="C12" s="35">
        <v>1</v>
      </c>
      <c r="D12" s="35">
        <v>0</v>
      </c>
      <c r="E12" s="35">
        <v>0</v>
      </c>
      <c r="F12" s="35">
        <v>0</v>
      </c>
      <c r="G12" s="35">
        <v>0</v>
      </c>
      <c r="H12" s="35">
        <v>0</v>
      </c>
      <c r="I12" s="111">
        <f t="shared" si="1"/>
        <v>1</v>
      </c>
      <c r="J12" s="66">
        <f t="shared" si="0"/>
        <v>2.0024028834601523E-2</v>
      </c>
    </row>
    <row r="13" spans="1:10" ht="16.5" thickTop="1" thickBot="1">
      <c r="A13" s="178" t="s">
        <v>26</v>
      </c>
      <c r="B13" s="67" t="s">
        <v>28</v>
      </c>
      <c r="C13" s="35">
        <f>41+2+3+2</f>
        <v>48</v>
      </c>
      <c r="D13" s="35">
        <v>0</v>
      </c>
      <c r="E13" s="38">
        <v>1</v>
      </c>
      <c r="F13" s="35">
        <v>0</v>
      </c>
      <c r="G13" s="35">
        <v>0</v>
      </c>
      <c r="H13" s="35">
        <v>0</v>
      </c>
      <c r="I13" s="113">
        <f t="shared" si="1"/>
        <v>49</v>
      </c>
      <c r="J13" s="66">
        <f t="shared" si="0"/>
        <v>0.98117741289547444</v>
      </c>
    </row>
    <row r="14" spans="1:10" ht="16.5" thickTop="1" thickBot="1">
      <c r="A14" s="178"/>
      <c r="B14" s="43" t="s">
        <v>77</v>
      </c>
      <c r="C14" s="35">
        <v>2</v>
      </c>
      <c r="D14" s="35">
        <v>0</v>
      </c>
      <c r="E14" s="38">
        <v>0</v>
      </c>
      <c r="F14" s="35">
        <v>0</v>
      </c>
      <c r="G14" s="35">
        <v>0</v>
      </c>
      <c r="H14" s="35">
        <v>0</v>
      </c>
      <c r="I14" s="113">
        <f t="shared" si="1"/>
        <v>2</v>
      </c>
      <c r="J14" s="66">
        <f t="shared" si="0"/>
        <v>4.0048057669203045E-2</v>
      </c>
    </row>
    <row r="15" spans="1:10" ht="25.5" thickTop="1" thickBot="1">
      <c r="A15" s="178"/>
      <c r="B15" s="43" t="s">
        <v>87</v>
      </c>
      <c r="C15" s="35">
        <v>0</v>
      </c>
      <c r="D15" s="35">
        <v>0</v>
      </c>
      <c r="E15" s="38">
        <v>0</v>
      </c>
      <c r="F15" s="38">
        <v>2</v>
      </c>
      <c r="G15" s="35">
        <v>0</v>
      </c>
      <c r="H15" s="35">
        <v>0</v>
      </c>
      <c r="I15" s="113">
        <f t="shared" si="1"/>
        <v>2</v>
      </c>
      <c r="J15" s="66">
        <f t="shared" si="0"/>
        <v>4.0048057669203045E-2</v>
      </c>
    </row>
    <row r="16" spans="1:10" ht="37.5" thickTop="1" thickBot="1">
      <c r="A16" s="43" t="s">
        <v>31</v>
      </c>
      <c r="B16" s="43" t="s">
        <v>32</v>
      </c>
      <c r="C16" s="35">
        <v>1</v>
      </c>
      <c r="D16" s="35">
        <v>0</v>
      </c>
      <c r="E16" s="38">
        <v>0</v>
      </c>
      <c r="F16" s="38">
        <v>0</v>
      </c>
      <c r="G16" s="35">
        <v>0</v>
      </c>
      <c r="H16" s="35">
        <v>0</v>
      </c>
      <c r="I16" s="113">
        <f t="shared" si="1"/>
        <v>1</v>
      </c>
      <c r="J16" s="66">
        <f t="shared" si="0"/>
        <v>2.0024028834601523E-2</v>
      </c>
    </row>
    <row r="17" spans="1:10" ht="16.5" thickTop="1" thickBot="1">
      <c r="A17" s="158" t="s">
        <v>38</v>
      </c>
      <c r="B17" s="158"/>
      <c r="C17" s="38">
        <f t="shared" ref="C17:H17" si="2">SUM(C5:C16)</f>
        <v>74</v>
      </c>
      <c r="D17" s="38">
        <f t="shared" si="2"/>
        <v>0</v>
      </c>
      <c r="E17" s="38">
        <f t="shared" si="2"/>
        <v>2</v>
      </c>
      <c r="F17" s="38">
        <f t="shared" si="2"/>
        <v>276</v>
      </c>
      <c r="G17" s="38">
        <f t="shared" si="2"/>
        <v>4642</v>
      </c>
      <c r="H17" s="38">
        <f t="shared" si="2"/>
        <v>0</v>
      </c>
      <c r="I17" s="38">
        <f>SUM(C17:H17)</f>
        <v>4994</v>
      </c>
      <c r="J17" s="68">
        <f>I17/4994*100</f>
        <v>100</v>
      </c>
    </row>
    <row r="18" spans="1:10" ht="15.75" thickTop="1"/>
    <row r="19" spans="1:10">
      <c r="A19" s="77" t="s">
        <v>55</v>
      </c>
      <c r="B19" s="77" t="s">
        <v>60</v>
      </c>
    </row>
  </sheetData>
  <mergeCells count="5">
    <mergeCell ref="A5:A6"/>
    <mergeCell ref="A10:A11"/>
    <mergeCell ref="A13:A15"/>
    <mergeCell ref="A17:B17"/>
    <mergeCell ref="A3:J3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A18" sqref="A18:B18"/>
    </sheetView>
  </sheetViews>
  <sheetFormatPr baseColWidth="10" defaultRowHeight="15"/>
  <cols>
    <col min="1" max="1" width="16.42578125" customWidth="1"/>
    <col min="2" max="2" width="18.7109375" customWidth="1"/>
    <col min="7" max="7" width="13.7109375" customWidth="1"/>
    <col min="10" max="10" width="9.7109375" customWidth="1"/>
  </cols>
  <sheetData>
    <row r="2" spans="1:10" ht="15.75" thickBot="1"/>
    <row r="3" spans="1:10" ht="16.5" thickTop="1" thickBot="1">
      <c r="A3" s="114" t="s">
        <v>0</v>
      </c>
      <c r="B3" s="114" t="s">
        <v>1</v>
      </c>
      <c r="C3" s="114" t="s">
        <v>2</v>
      </c>
      <c r="D3" s="114" t="s">
        <v>3</v>
      </c>
      <c r="E3" s="114" t="s">
        <v>4</v>
      </c>
      <c r="F3" s="114" t="s">
        <v>5</v>
      </c>
      <c r="G3" s="114" t="s">
        <v>6</v>
      </c>
      <c r="H3" s="114" t="s">
        <v>7</v>
      </c>
      <c r="I3" s="114" t="s">
        <v>8</v>
      </c>
      <c r="J3" s="114" t="s">
        <v>9</v>
      </c>
    </row>
    <row r="4" spans="1:10" ht="51.75" customHeight="1" thickTop="1" thickBot="1">
      <c r="A4" s="178" t="s">
        <v>57</v>
      </c>
      <c r="B4" s="114" t="s">
        <v>11</v>
      </c>
      <c r="C4" s="35">
        <v>0</v>
      </c>
      <c r="D4" s="35">
        <v>0</v>
      </c>
      <c r="E4" s="35">
        <v>0</v>
      </c>
      <c r="F4" s="35">
        <v>290</v>
      </c>
      <c r="G4" s="35">
        <v>4147</v>
      </c>
      <c r="H4" s="38">
        <v>0</v>
      </c>
      <c r="I4" s="111">
        <f t="shared" ref="I4:I16" si="0">SUM(C4:H4)</f>
        <v>4437</v>
      </c>
      <c r="J4" s="66">
        <f t="shared" ref="J4:J15" si="1">I4/4785*100</f>
        <v>92.72727272727272</v>
      </c>
    </row>
    <row r="5" spans="1:10" ht="36" customHeight="1" thickTop="1" thickBot="1">
      <c r="A5" s="178"/>
      <c r="B5" s="114" t="s">
        <v>72</v>
      </c>
      <c r="C5" s="35">
        <f>1+1</f>
        <v>2</v>
      </c>
      <c r="D5" s="35">
        <v>0</v>
      </c>
      <c r="E5" s="35">
        <v>0</v>
      </c>
      <c r="F5" s="35">
        <v>13</v>
      </c>
      <c r="G5" s="35">
        <v>233</v>
      </c>
      <c r="H5" s="38">
        <v>0</v>
      </c>
      <c r="I5" s="111">
        <f t="shared" si="0"/>
        <v>248</v>
      </c>
      <c r="J5" s="66">
        <f t="shared" si="1"/>
        <v>5.1828631138975974</v>
      </c>
    </row>
    <row r="6" spans="1:10" ht="37.5" thickTop="1" thickBot="1">
      <c r="A6" s="114" t="s">
        <v>13</v>
      </c>
      <c r="B6" s="114" t="s">
        <v>14</v>
      </c>
      <c r="C6" s="35">
        <f>1+1+1+11</f>
        <v>14</v>
      </c>
      <c r="D6" s="35">
        <v>0</v>
      </c>
      <c r="E6" s="38">
        <v>1</v>
      </c>
      <c r="F6" s="38">
        <v>0</v>
      </c>
      <c r="G6" s="38">
        <v>0</v>
      </c>
      <c r="H6" s="38">
        <v>0</v>
      </c>
      <c r="I6" s="113">
        <f t="shared" si="0"/>
        <v>15</v>
      </c>
      <c r="J6" s="66">
        <f t="shared" si="1"/>
        <v>0.31347962382445138</v>
      </c>
    </row>
    <row r="7" spans="1:10" ht="70.5" customHeight="1" thickTop="1" thickBot="1">
      <c r="A7" s="114" t="s">
        <v>59</v>
      </c>
      <c r="B7" s="43" t="s">
        <v>16</v>
      </c>
      <c r="C7" s="35">
        <v>2</v>
      </c>
      <c r="D7" s="35">
        <v>0</v>
      </c>
      <c r="E7" s="38">
        <v>0</v>
      </c>
      <c r="F7" s="38">
        <v>0</v>
      </c>
      <c r="G7" s="38">
        <v>9</v>
      </c>
      <c r="H7" s="38">
        <v>0</v>
      </c>
      <c r="I7" s="113">
        <f t="shared" si="0"/>
        <v>11</v>
      </c>
      <c r="J7" s="66">
        <f t="shared" si="1"/>
        <v>0.22988505747126436</v>
      </c>
    </row>
    <row r="8" spans="1:10" ht="28.5" customHeight="1" thickTop="1" thickBot="1">
      <c r="A8" s="178" t="s">
        <v>19</v>
      </c>
      <c r="B8" s="43" t="s">
        <v>20</v>
      </c>
      <c r="C8" s="35">
        <v>1</v>
      </c>
      <c r="D8" s="35">
        <v>0</v>
      </c>
      <c r="E8" s="38">
        <v>0</v>
      </c>
      <c r="F8" s="38">
        <v>0</v>
      </c>
      <c r="G8" s="38">
        <v>0</v>
      </c>
      <c r="H8" s="38">
        <v>0</v>
      </c>
      <c r="I8" s="113">
        <f t="shared" si="0"/>
        <v>1</v>
      </c>
      <c r="J8" s="66">
        <f t="shared" si="1"/>
        <v>2.0898641588296761E-2</v>
      </c>
    </row>
    <row r="9" spans="1:10" ht="16.5" thickTop="1" thickBot="1">
      <c r="A9" s="178"/>
      <c r="B9" s="114" t="s">
        <v>21</v>
      </c>
      <c r="C9" s="35">
        <f>9+1</f>
        <v>10</v>
      </c>
      <c r="D9" s="35">
        <v>0</v>
      </c>
      <c r="E9" s="38">
        <v>0</v>
      </c>
      <c r="F9" s="38">
        <v>0</v>
      </c>
      <c r="G9" s="38">
        <v>0</v>
      </c>
      <c r="H9" s="38">
        <v>0</v>
      </c>
      <c r="I9" s="111">
        <f t="shared" si="0"/>
        <v>10</v>
      </c>
      <c r="J9" s="66">
        <f t="shared" si="1"/>
        <v>0.20898641588296762</v>
      </c>
    </row>
    <row r="10" spans="1:10" ht="16.5" thickTop="1" thickBot="1">
      <c r="A10" s="114" t="s">
        <v>22</v>
      </c>
      <c r="B10" s="43" t="s">
        <v>23</v>
      </c>
      <c r="C10" s="35">
        <v>1</v>
      </c>
      <c r="D10" s="35">
        <v>0</v>
      </c>
      <c r="E10" s="38">
        <v>0</v>
      </c>
      <c r="F10" s="38">
        <v>0</v>
      </c>
      <c r="G10" s="38">
        <v>0</v>
      </c>
      <c r="H10" s="38">
        <v>0</v>
      </c>
      <c r="I10" s="111">
        <f t="shared" si="0"/>
        <v>1</v>
      </c>
      <c r="J10" s="66">
        <f t="shared" si="1"/>
        <v>2.0898641588296761E-2</v>
      </c>
    </row>
    <row r="11" spans="1:10" ht="16.5" thickTop="1" thickBot="1">
      <c r="A11" s="178" t="s">
        <v>26</v>
      </c>
      <c r="B11" s="114" t="s">
        <v>28</v>
      </c>
      <c r="C11" s="35">
        <f>45+1+3+1+1</f>
        <v>51</v>
      </c>
      <c r="D11" s="38">
        <v>1</v>
      </c>
      <c r="E11" s="38">
        <v>1</v>
      </c>
      <c r="F11" s="38">
        <v>0</v>
      </c>
      <c r="G11" s="38">
        <v>0</v>
      </c>
      <c r="H11" s="38">
        <v>0</v>
      </c>
      <c r="I11" s="113">
        <f t="shared" si="0"/>
        <v>53</v>
      </c>
      <c r="J11" s="66">
        <f t="shared" si="1"/>
        <v>1.1076280041797284</v>
      </c>
    </row>
    <row r="12" spans="1:10" ht="16.5" thickTop="1" thickBot="1">
      <c r="A12" s="178"/>
      <c r="B12" s="43" t="s">
        <v>77</v>
      </c>
      <c r="C12" s="35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113">
        <f t="shared" si="0"/>
        <v>1</v>
      </c>
      <c r="J12" s="66">
        <f t="shared" si="1"/>
        <v>2.0898641588296761E-2</v>
      </c>
    </row>
    <row r="13" spans="1:10" ht="25.5" thickTop="1" thickBot="1">
      <c r="A13" s="178"/>
      <c r="B13" s="43" t="s">
        <v>27</v>
      </c>
      <c r="C13" s="35">
        <v>0</v>
      </c>
      <c r="D13" s="38">
        <v>1</v>
      </c>
      <c r="E13" s="38">
        <v>0</v>
      </c>
      <c r="F13" s="38">
        <v>0</v>
      </c>
      <c r="G13" s="38">
        <v>2</v>
      </c>
      <c r="H13" s="38">
        <v>0</v>
      </c>
      <c r="I13" s="113">
        <f t="shared" si="0"/>
        <v>3</v>
      </c>
      <c r="J13" s="66">
        <f t="shared" si="1"/>
        <v>6.269592476489029E-2</v>
      </c>
    </row>
    <row r="14" spans="1:10" ht="37.5" thickTop="1" thickBot="1">
      <c r="A14" s="43" t="s">
        <v>31</v>
      </c>
      <c r="B14" s="43" t="s">
        <v>32</v>
      </c>
      <c r="C14" s="35">
        <v>3</v>
      </c>
      <c r="D14" s="35">
        <v>0</v>
      </c>
      <c r="E14" s="35">
        <v>0</v>
      </c>
      <c r="F14" s="35">
        <v>0</v>
      </c>
      <c r="G14" s="35">
        <v>0</v>
      </c>
      <c r="H14" s="38">
        <v>0</v>
      </c>
      <c r="I14" s="113">
        <f t="shared" si="0"/>
        <v>3</v>
      </c>
      <c r="J14" s="66">
        <f t="shared" si="1"/>
        <v>6.269592476489029E-2</v>
      </c>
    </row>
    <row r="15" spans="1:10" ht="37.5" thickTop="1" thickBot="1">
      <c r="A15" s="43" t="s">
        <v>89</v>
      </c>
      <c r="B15" s="43" t="s">
        <v>30</v>
      </c>
      <c r="C15" s="35">
        <v>0</v>
      </c>
      <c r="D15" s="35">
        <v>0</v>
      </c>
      <c r="E15" s="35">
        <v>0</v>
      </c>
      <c r="F15" s="35">
        <v>0</v>
      </c>
      <c r="G15" s="35">
        <v>0</v>
      </c>
      <c r="H15" s="35">
        <v>2</v>
      </c>
      <c r="I15" s="113">
        <f t="shared" si="0"/>
        <v>2</v>
      </c>
      <c r="J15" s="66">
        <f t="shared" si="1"/>
        <v>4.1797283176593522E-2</v>
      </c>
    </row>
    <row r="16" spans="1:10" ht="16.5" thickTop="1" thickBot="1">
      <c r="A16" s="158" t="s">
        <v>38</v>
      </c>
      <c r="B16" s="158"/>
      <c r="C16" s="38">
        <f t="shared" ref="C16:H16" si="2">SUM(C4:C15)</f>
        <v>85</v>
      </c>
      <c r="D16" s="38">
        <f t="shared" si="2"/>
        <v>2</v>
      </c>
      <c r="E16" s="38">
        <f t="shared" si="2"/>
        <v>2</v>
      </c>
      <c r="F16" s="38">
        <f t="shared" si="2"/>
        <v>303</v>
      </c>
      <c r="G16" s="38">
        <f t="shared" si="2"/>
        <v>4391</v>
      </c>
      <c r="H16" s="38">
        <f t="shared" si="2"/>
        <v>2</v>
      </c>
      <c r="I16" s="38">
        <f t="shared" si="0"/>
        <v>4785</v>
      </c>
      <c r="J16" s="68">
        <f>I16/4785*100</f>
        <v>100</v>
      </c>
    </row>
    <row r="17" spans="1:2" ht="15.75" thickTop="1"/>
    <row r="18" spans="1:2">
      <c r="A18" s="77" t="s">
        <v>55</v>
      </c>
      <c r="B18" s="77" t="s">
        <v>60</v>
      </c>
    </row>
  </sheetData>
  <mergeCells count="4">
    <mergeCell ref="A4:A5"/>
    <mergeCell ref="A8:A9"/>
    <mergeCell ref="A11:A13"/>
    <mergeCell ref="A16:B16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77"/>
  <sheetViews>
    <sheetView workbookViewId="0">
      <selection activeCell="B7" sqref="B7"/>
    </sheetView>
  </sheetViews>
  <sheetFormatPr baseColWidth="10" defaultRowHeight="15"/>
  <cols>
    <col min="1" max="1" width="20" customWidth="1"/>
    <col min="2" max="2" width="31.28515625" customWidth="1"/>
    <col min="3" max="3" width="11.7109375" customWidth="1"/>
    <col min="4" max="4" width="18.5703125" customWidth="1"/>
    <col min="5" max="5" width="21.140625" customWidth="1"/>
    <col min="6" max="6" width="15.7109375" customWidth="1"/>
    <col min="7" max="7" width="32.140625" customWidth="1"/>
  </cols>
  <sheetData>
    <row r="2" spans="1:7" ht="15.75" thickBot="1"/>
    <row r="3" spans="1:7" ht="31.5" thickTop="1" thickBot="1">
      <c r="A3" s="115" t="s">
        <v>90</v>
      </c>
      <c r="B3" s="115" t="s">
        <v>91</v>
      </c>
      <c r="C3" s="115" t="s">
        <v>92</v>
      </c>
      <c r="D3" s="115" t="s">
        <v>93</v>
      </c>
      <c r="E3" s="116" t="s">
        <v>94</v>
      </c>
      <c r="F3" s="115" t="s">
        <v>95</v>
      </c>
      <c r="G3" s="115" t="s">
        <v>96</v>
      </c>
    </row>
    <row r="4" spans="1:7" ht="46.5" thickTop="1" thickBot="1">
      <c r="A4" s="117">
        <v>44866</v>
      </c>
      <c r="B4" s="118" t="s">
        <v>97</v>
      </c>
      <c r="C4" s="119">
        <v>11654</v>
      </c>
      <c r="D4" s="120" t="s">
        <v>98</v>
      </c>
      <c r="E4" s="121" t="s">
        <v>99</v>
      </c>
      <c r="F4" s="121">
        <v>44868</v>
      </c>
      <c r="G4" s="122" t="s">
        <v>100</v>
      </c>
    </row>
    <row r="5" spans="1:7" ht="30" thickTop="1" thickBot="1">
      <c r="A5" s="117">
        <v>44867</v>
      </c>
      <c r="B5" s="118" t="s">
        <v>101</v>
      </c>
      <c r="C5" s="119">
        <v>11655</v>
      </c>
      <c r="D5" s="120" t="s">
        <v>98</v>
      </c>
      <c r="E5" s="121" t="s">
        <v>99</v>
      </c>
      <c r="F5" s="121">
        <v>44881</v>
      </c>
      <c r="G5" s="122" t="s">
        <v>102</v>
      </c>
    </row>
    <row r="6" spans="1:7" ht="46.5" thickTop="1" thickBot="1">
      <c r="A6" s="117">
        <v>44867</v>
      </c>
      <c r="B6" s="118" t="s">
        <v>103</v>
      </c>
      <c r="C6" s="119">
        <v>11656</v>
      </c>
      <c r="D6" s="120" t="s">
        <v>98</v>
      </c>
      <c r="E6" s="121" t="s">
        <v>99</v>
      </c>
      <c r="F6" s="121">
        <v>44867</v>
      </c>
      <c r="G6" s="122" t="s">
        <v>104</v>
      </c>
    </row>
    <row r="7" spans="1:7" ht="46.5" thickTop="1" thickBot="1">
      <c r="A7" s="117">
        <v>44867</v>
      </c>
      <c r="B7" s="118" t="s">
        <v>103</v>
      </c>
      <c r="C7" s="119">
        <v>11657</v>
      </c>
      <c r="D7" s="120" t="s">
        <v>98</v>
      </c>
      <c r="E7" s="121" t="s">
        <v>99</v>
      </c>
      <c r="F7" s="121">
        <v>44874</v>
      </c>
      <c r="G7" s="122" t="s">
        <v>105</v>
      </c>
    </row>
    <row r="8" spans="1:7" ht="46.5" thickTop="1" thickBot="1">
      <c r="A8" s="117">
        <v>44867</v>
      </c>
      <c r="B8" s="118" t="s">
        <v>106</v>
      </c>
      <c r="C8" s="119">
        <v>11658</v>
      </c>
      <c r="D8" s="120" t="s">
        <v>98</v>
      </c>
      <c r="E8" s="121" t="s">
        <v>99</v>
      </c>
      <c r="F8" s="121">
        <v>44868</v>
      </c>
      <c r="G8" s="123" t="s">
        <v>107</v>
      </c>
    </row>
    <row r="9" spans="1:7" ht="30" thickTop="1" thickBot="1">
      <c r="A9" s="117">
        <v>44867</v>
      </c>
      <c r="B9" s="118" t="s">
        <v>108</v>
      </c>
      <c r="C9" s="119">
        <v>11659</v>
      </c>
      <c r="D9" s="124" t="s">
        <v>109</v>
      </c>
      <c r="E9" s="121" t="s">
        <v>99</v>
      </c>
      <c r="F9" s="121">
        <v>44882</v>
      </c>
      <c r="G9" s="122" t="s">
        <v>110</v>
      </c>
    </row>
    <row r="10" spans="1:7" ht="30" thickTop="1" thickBot="1">
      <c r="A10" s="117">
        <v>44867</v>
      </c>
      <c r="B10" s="118" t="s">
        <v>111</v>
      </c>
      <c r="C10" s="119">
        <v>11660</v>
      </c>
      <c r="D10" s="118" t="s">
        <v>112</v>
      </c>
      <c r="E10" s="121" t="s">
        <v>99</v>
      </c>
      <c r="F10" s="121">
        <v>44889</v>
      </c>
      <c r="G10" s="122" t="s">
        <v>113</v>
      </c>
    </row>
    <row r="11" spans="1:7" ht="46.5" thickTop="1" thickBot="1">
      <c r="A11" s="117">
        <v>44868</v>
      </c>
      <c r="B11" s="118" t="s">
        <v>114</v>
      </c>
      <c r="C11" s="119">
        <v>11661</v>
      </c>
      <c r="D11" s="120" t="s">
        <v>98</v>
      </c>
      <c r="E11" s="121" t="s">
        <v>99</v>
      </c>
      <c r="F11" s="121">
        <v>44876</v>
      </c>
      <c r="G11" s="122" t="s">
        <v>115</v>
      </c>
    </row>
    <row r="12" spans="1:7" ht="30" thickTop="1" thickBot="1">
      <c r="A12" s="117">
        <v>44867</v>
      </c>
      <c r="B12" s="118" t="s">
        <v>116</v>
      </c>
      <c r="C12" s="119">
        <v>11662</v>
      </c>
      <c r="D12" s="120" t="s">
        <v>98</v>
      </c>
      <c r="E12" s="121" t="s">
        <v>99</v>
      </c>
      <c r="F12" s="125">
        <v>44881</v>
      </c>
      <c r="G12" s="126" t="s">
        <v>117</v>
      </c>
    </row>
    <row r="13" spans="1:7" ht="31.5" thickTop="1" thickBot="1">
      <c r="A13" s="117">
        <v>44868</v>
      </c>
      <c r="B13" s="118" t="s">
        <v>118</v>
      </c>
      <c r="C13" s="119">
        <v>11663</v>
      </c>
      <c r="D13" s="124" t="s">
        <v>109</v>
      </c>
      <c r="E13" s="121" t="s">
        <v>119</v>
      </c>
      <c r="F13" s="121">
        <v>44908</v>
      </c>
      <c r="G13" s="122" t="s">
        <v>120</v>
      </c>
    </row>
    <row r="14" spans="1:7" ht="30" thickTop="1" thickBot="1">
      <c r="A14" s="117">
        <v>44868</v>
      </c>
      <c r="B14" s="118" t="s">
        <v>121</v>
      </c>
      <c r="C14" s="119">
        <v>11664</v>
      </c>
      <c r="D14" s="120" t="s">
        <v>98</v>
      </c>
      <c r="E14" s="121" t="s">
        <v>99</v>
      </c>
      <c r="F14" s="121">
        <v>44883</v>
      </c>
      <c r="G14" s="122" t="s">
        <v>122</v>
      </c>
    </row>
    <row r="15" spans="1:7" ht="46.5" thickTop="1" thickBot="1">
      <c r="A15" s="117">
        <v>44869</v>
      </c>
      <c r="B15" s="118" t="s">
        <v>123</v>
      </c>
      <c r="C15" s="119">
        <v>11665</v>
      </c>
      <c r="D15" s="120" t="s">
        <v>98</v>
      </c>
      <c r="E15" s="121" t="s">
        <v>99</v>
      </c>
      <c r="F15" s="125">
        <v>44875</v>
      </c>
      <c r="G15" s="126" t="s">
        <v>124</v>
      </c>
    </row>
    <row r="16" spans="1:7" ht="30" thickTop="1" thickBot="1">
      <c r="A16" s="117">
        <v>44869</v>
      </c>
      <c r="B16" s="118" t="s">
        <v>125</v>
      </c>
      <c r="C16" s="119">
        <v>11666</v>
      </c>
      <c r="D16" s="118" t="s">
        <v>112</v>
      </c>
      <c r="E16" s="121" t="s">
        <v>99</v>
      </c>
      <c r="F16" s="121">
        <v>44893</v>
      </c>
      <c r="G16" s="122" t="s">
        <v>126</v>
      </c>
    </row>
    <row r="17" spans="1:7" ht="30" thickTop="1" thickBot="1">
      <c r="A17" s="117">
        <v>44869</v>
      </c>
      <c r="B17" s="118" t="s">
        <v>127</v>
      </c>
      <c r="C17" s="119">
        <v>11667</v>
      </c>
      <c r="D17" s="124" t="s">
        <v>109</v>
      </c>
      <c r="E17" s="121" t="s">
        <v>99</v>
      </c>
      <c r="F17" s="125">
        <v>44893</v>
      </c>
      <c r="G17" s="127" t="s">
        <v>128</v>
      </c>
    </row>
    <row r="18" spans="1:7" ht="46.5" thickTop="1" thickBot="1">
      <c r="A18" s="117">
        <v>44869</v>
      </c>
      <c r="B18" s="118" t="s">
        <v>129</v>
      </c>
      <c r="C18" s="119">
        <v>11668</v>
      </c>
      <c r="D18" s="120" t="s">
        <v>98</v>
      </c>
      <c r="E18" s="128" t="s">
        <v>99</v>
      </c>
      <c r="F18" s="121">
        <v>44874</v>
      </c>
      <c r="G18" s="122" t="s">
        <v>130</v>
      </c>
    </row>
    <row r="19" spans="1:7" ht="30" thickTop="1" thickBot="1">
      <c r="A19" s="117">
        <v>44870</v>
      </c>
      <c r="B19" s="118" t="s">
        <v>131</v>
      </c>
      <c r="C19" s="119">
        <v>11669</v>
      </c>
      <c r="D19" s="120" t="s">
        <v>98</v>
      </c>
      <c r="E19" s="128" t="s">
        <v>99</v>
      </c>
      <c r="F19" s="121">
        <v>44881</v>
      </c>
      <c r="G19" s="126" t="s">
        <v>132</v>
      </c>
    </row>
    <row r="20" spans="1:7" ht="30" thickTop="1" thickBot="1">
      <c r="A20" s="117">
        <v>44871</v>
      </c>
      <c r="B20" s="118" t="s">
        <v>133</v>
      </c>
      <c r="C20" s="119">
        <v>11670</v>
      </c>
      <c r="D20" s="120" t="s">
        <v>98</v>
      </c>
      <c r="E20" s="128" t="s">
        <v>99</v>
      </c>
      <c r="F20" s="125">
        <v>44886</v>
      </c>
      <c r="G20" s="122" t="s">
        <v>134</v>
      </c>
    </row>
    <row r="21" spans="1:7" ht="30" thickTop="1" thickBot="1">
      <c r="A21" s="117">
        <v>44872</v>
      </c>
      <c r="B21" s="118" t="s">
        <v>135</v>
      </c>
      <c r="C21" s="119">
        <v>11671</v>
      </c>
      <c r="D21" s="120" t="s">
        <v>98</v>
      </c>
      <c r="E21" s="121" t="s">
        <v>99</v>
      </c>
      <c r="F21" s="125">
        <v>44886</v>
      </c>
      <c r="G21" s="129" t="s">
        <v>136</v>
      </c>
    </row>
    <row r="22" spans="1:7" ht="30" thickTop="1" thickBot="1">
      <c r="A22" s="117">
        <v>44873</v>
      </c>
      <c r="B22" s="118" t="s">
        <v>137</v>
      </c>
      <c r="C22" s="119">
        <v>11672</v>
      </c>
      <c r="D22" s="124" t="s">
        <v>109</v>
      </c>
      <c r="E22" s="121" t="s">
        <v>99</v>
      </c>
      <c r="F22" s="125">
        <v>44895</v>
      </c>
      <c r="G22" s="127" t="s">
        <v>138</v>
      </c>
    </row>
    <row r="23" spans="1:7" ht="30" thickTop="1" thickBot="1">
      <c r="A23" s="117">
        <v>44873</v>
      </c>
      <c r="B23" s="118" t="s">
        <v>139</v>
      </c>
      <c r="C23" s="119">
        <v>11674</v>
      </c>
      <c r="D23" s="120" t="s">
        <v>98</v>
      </c>
      <c r="E23" s="121" t="s">
        <v>99</v>
      </c>
      <c r="F23" s="125">
        <v>44881</v>
      </c>
      <c r="G23" s="127" t="s">
        <v>140</v>
      </c>
    </row>
    <row r="24" spans="1:7" ht="30" thickTop="1" thickBot="1">
      <c r="A24" s="117">
        <v>44872</v>
      </c>
      <c r="B24" s="118" t="s">
        <v>141</v>
      </c>
      <c r="C24" s="119">
        <v>11675</v>
      </c>
      <c r="D24" s="120" t="s">
        <v>98</v>
      </c>
      <c r="E24" s="121" t="s">
        <v>99</v>
      </c>
      <c r="F24" s="125">
        <v>44893</v>
      </c>
      <c r="G24" s="127" t="s">
        <v>142</v>
      </c>
    </row>
    <row r="25" spans="1:7" ht="30" thickTop="1" thickBot="1">
      <c r="A25" s="117">
        <v>44873</v>
      </c>
      <c r="B25" s="118" t="s">
        <v>143</v>
      </c>
      <c r="C25" s="119">
        <v>11676</v>
      </c>
      <c r="D25" s="120" t="s">
        <v>98</v>
      </c>
      <c r="E25" s="121" t="s">
        <v>99</v>
      </c>
      <c r="F25" s="125">
        <v>44886</v>
      </c>
      <c r="G25" s="127" t="s">
        <v>144</v>
      </c>
    </row>
    <row r="26" spans="1:7" ht="46.5" thickTop="1" thickBot="1">
      <c r="A26" s="117">
        <v>44873</v>
      </c>
      <c r="B26" s="118" t="s">
        <v>135</v>
      </c>
      <c r="C26" s="119">
        <v>11677</v>
      </c>
      <c r="D26" s="120" t="s">
        <v>98</v>
      </c>
      <c r="E26" s="121" t="s">
        <v>99</v>
      </c>
      <c r="F26" s="125">
        <v>44886</v>
      </c>
      <c r="G26" s="127" t="s">
        <v>145</v>
      </c>
    </row>
    <row r="27" spans="1:7" ht="46.5" thickTop="1" thickBot="1">
      <c r="A27" s="117">
        <v>44874</v>
      </c>
      <c r="B27" s="118" t="s">
        <v>146</v>
      </c>
      <c r="C27" s="119">
        <v>11678</v>
      </c>
      <c r="D27" s="130" t="s">
        <v>147</v>
      </c>
      <c r="E27" s="121" t="s">
        <v>99</v>
      </c>
      <c r="F27" s="125">
        <v>44876</v>
      </c>
      <c r="G27" s="127" t="s">
        <v>115</v>
      </c>
    </row>
    <row r="28" spans="1:7" ht="30" thickTop="1" thickBot="1">
      <c r="A28" s="117">
        <v>44874</v>
      </c>
      <c r="B28" s="118" t="s">
        <v>148</v>
      </c>
      <c r="C28" s="119">
        <v>11681</v>
      </c>
      <c r="D28" s="120" t="s">
        <v>98</v>
      </c>
      <c r="E28" s="121" t="s">
        <v>99</v>
      </c>
      <c r="F28" s="125">
        <v>44889</v>
      </c>
      <c r="G28" s="127" t="s">
        <v>149</v>
      </c>
    </row>
    <row r="29" spans="1:7" ht="30" thickTop="1" thickBot="1">
      <c r="A29" s="117">
        <v>44875</v>
      </c>
      <c r="B29" s="118" t="s">
        <v>135</v>
      </c>
      <c r="C29" s="119">
        <v>11682</v>
      </c>
      <c r="D29" s="120" t="s">
        <v>98</v>
      </c>
      <c r="E29" s="121" t="s">
        <v>99</v>
      </c>
      <c r="F29" s="125">
        <v>44889</v>
      </c>
      <c r="G29" s="127" t="s">
        <v>150</v>
      </c>
    </row>
    <row r="30" spans="1:7" ht="30" thickTop="1" thickBot="1">
      <c r="A30" s="117">
        <v>44875</v>
      </c>
      <c r="B30" s="118" t="s">
        <v>151</v>
      </c>
      <c r="C30" s="119">
        <v>11684</v>
      </c>
      <c r="D30" s="120" t="s">
        <v>98</v>
      </c>
      <c r="E30" s="121" t="s">
        <v>99</v>
      </c>
      <c r="F30" s="125">
        <v>44889</v>
      </c>
      <c r="G30" s="127" t="s">
        <v>152</v>
      </c>
    </row>
    <row r="31" spans="1:7" ht="30" thickTop="1" thickBot="1">
      <c r="A31" s="117">
        <v>44874</v>
      </c>
      <c r="B31" s="118" t="s">
        <v>153</v>
      </c>
      <c r="C31" s="119">
        <v>11685</v>
      </c>
      <c r="D31" s="120" t="s">
        <v>98</v>
      </c>
      <c r="E31" s="121" t="s">
        <v>99</v>
      </c>
      <c r="F31" s="125">
        <v>44886</v>
      </c>
      <c r="G31" s="127" t="s">
        <v>154</v>
      </c>
    </row>
    <row r="32" spans="1:7" ht="30" thickTop="1" thickBot="1">
      <c r="A32" s="117">
        <v>44874</v>
      </c>
      <c r="B32" s="118" t="s">
        <v>155</v>
      </c>
      <c r="C32" s="119">
        <v>11686</v>
      </c>
      <c r="D32" s="120" t="s">
        <v>98</v>
      </c>
      <c r="E32" s="121" t="s">
        <v>99</v>
      </c>
      <c r="F32" s="121">
        <v>44888</v>
      </c>
      <c r="G32" s="122" t="s">
        <v>156</v>
      </c>
    </row>
    <row r="33" spans="1:7" ht="72.75" thickTop="1" thickBot="1">
      <c r="A33" s="117">
        <v>44875</v>
      </c>
      <c r="B33" s="118" t="s">
        <v>157</v>
      </c>
      <c r="C33" s="119">
        <v>11687</v>
      </c>
      <c r="D33" s="118" t="s">
        <v>158</v>
      </c>
      <c r="E33" s="121" t="s">
        <v>99</v>
      </c>
      <c r="F33" s="125">
        <v>44886</v>
      </c>
      <c r="G33" s="127" t="s">
        <v>159</v>
      </c>
    </row>
    <row r="34" spans="1:7" ht="44.25" thickTop="1" thickBot="1">
      <c r="A34" s="117">
        <v>44875</v>
      </c>
      <c r="B34" s="118" t="s">
        <v>97</v>
      </c>
      <c r="C34" s="119">
        <v>11688</v>
      </c>
      <c r="D34" s="120" t="s">
        <v>98</v>
      </c>
      <c r="E34" s="121" t="s">
        <v>99</v>
      </c>
      <c r="F34" s="121">
        <v>44890</v>
      </c>
      <c r="G34" s="122" t="s">
        <v>160</v>
      </c>
    </row>
    <row r="35" spans="1:7" ht="30" thickTop="1" thickBot="1">
      <c r="A35" s="117">
        <v>44875</v>
      </c>
      <c r="B35" s="118" t="s">
        <v>161</v>
      </c>
      <c r="C35" s="119">
        <v>11689</v>
      </c>
      <c r="D35" s="120" t="s">
        <v>98</v>
      </c>
      <c r="E35" s="121" t="s">
        <v>99</v>
      </c>
      <c r="F35" s="131">
        <v>44889</v>
      </c>
      <c r="G35" s="132" t="s">
        <v>162</v>
      </c>
    </row>
    <row r="36" spans="1:7" ht="30" thickTop="1" thickBot="1">
      <c r="A36" s="117">
        <v>44875</v>
      </c>
      <c r="B36" s="118" t="s">
        <v>163</v>
      </c>
      <c r="C36" s="119">
        <v>11690</v>
      </c>
      <c r="D36" s="124" t="s">
        <v>109</v>
      </c>
      <c r="E36" s="121" t="s">
        <v>99</v>
      </c>
      <c r="F36" s="125">
        <v>44893</v>
      </c>
      <c r="G36" s="127" t="s">
        <v>164</v>
      </c>
    </row>
    <row r="37" spans="1:7" ht="30" thickTop="1" thickBot="1">
      <c r="A37" s="117">
        <v>44875</v>
      </c>
      <c r="B37" s="118" t="s">
        <v>165</v>
      </c>
      <c r="C37" s="119">
        <v>11691</v>
      </c>
      <c r="D37" s="120" t="s">
        <v>98</v>
      </c>
      <c r="E37" s="121" t="s">
        <v>99</v>
      </c>
      <c r="F37" s="121">
        <v>44889</v>
      </c>
      <c r="G37" s="122" t="s">
        <v>166</v>
      </c>
    </row>
    <row r="38" spans="1:7" ht="30" thickTop="1" thickBot="1">
      <c r="A38" s="117">
        <v>44874</v>
      </c>
      <c r="B38" s="118" t="s">
        <v>167</v>
      </c>
      <c r="C38" s="119">
        <v>11692</v>
      </c>
      <c r="D38" s="120" t="s">
        <v>98</v>
      </c>
      <c r="E38" s="121" t="s">
        <v>99</v>
      </c>
      <c r="F38" s="121">
        <v>44889</v>
      </c>
      <c r="G38" s="122" t="s">
        <v>168</v>
      </c>
    </row>
    <row r="39" spans="1:7" ht="30" thickTop="1" thickBot="1">
      <c r="A39" s="117">
        <v>44876</v>
      </c>
      <c r="B39" s="118" t="s">
        <v>169</v>
      </c>
      <c r="C39" s="119">
        <v>11693</v>
      </c>
      <c r="D39" s="120" t="s">
        <v>98</v>
      </c>
      <c r="E39" s="121" t="s">
        <v>99</v>
      </c>
      <c r="F39" s="121">
        <v>44889</v>
      </c>
      <c r="G39" s="122" t="s">
        <v>170</v>
      </c>
    </row>
    <row r="40" spans="1:7" ht="30" thickTop="1" thickBot="1">
      <c r="A40" s="117">
        <v>44876</v>
      </c>
      <c r="B40" s="118" t="s">
        <v>171</v>
      </c>
      <c r="C40" s="119">
        <v>11694</v>
      </c>
      <c r="D40" s="120" t="s">
        <v>98</v>
      </c>
      <c r="E40" s="121" t="s">
        <v>99</v>
      </c>
      <c r="F40" s="133">
        <v>44889</v>
      </c>
      <c r="G40" s="129" t="s">
        <v>172</v>
      </c>
    </row>
    <row r="41" spans="1:7" ht="30" thickTop="1" thickBot="1">
      <c r="A41" s="117">
        <v>44879</v>
      </c>
      <c r="B41" s="118" t="s">
        <v>173</v>
      </c>
      <c r="C41" s="118" t="s">
        <v>174</v>
      </c>
      <c r="D41" s="120" t="s">
        <v>98</v>
      </c>
      <c r="E41" s="121" t="s">
        <v>99</v>
      </c>
      <c r="F41" s="121">
        <v>44890</v>
      </c>
      <c r="G41" s="122" t="s">
        <v>175</v>
      </c>
    </row>
    <row r="42" spans="1:7" ht="30" thickTop="1" thickBot="1">
      <c r="A42" s="117">
        <v>44880</v>
      </c>
      <c r="B42" s="118" t="s">
        <v>176</v>
      </c>
      <c r="C42" s="118">
        <v>11696</v>
      </c>
      <c r="D42" s="120" t="s">
        <v>98</v>
      </c>
      <c r="E42" s="121" t="s">
        <v>99</v>
      </c>
      <c r="F42" s="125">
        <v>44894</v>
      </c>
      <c r="G42" s="127" t="s">
        <v>177</v>
      </c>
    </row>
    <row r="43" spans="1:7" ht="30" thickTop="1" thickBot="1">
      <c r="A43" s="117">
        <v>44880</v>
      </c>
      <c r="B43" s="118" t="s">
        <v>178</v>
      </c>
      <c r="C43" s="119">
        <v>11700</v>
      </c>
      <c r="D43" s="120" t="s">
        <v>98</v>
      </c>
      <c r="E43" s="121" t="s">
        <v>99</v>
      </c>
      <c r="F43" s="121">
        <v>44894</v>
      </c>
      <c r="G43" s="122" t="s">
        <v>179</v>
      </c>
    </row>
    <row r="44" spans="1:7" ht="30" thickTop="1" thickBot="1">
      <c r="A44" s="117">
        <v>44879</v>
      </c>
      <c r="B44" s="118" t="s">
        <v>180</v>
      </c>
      <c r="C44" s="119">
        <v>11701</v>
      </c>
      <c r="D44" s="120" t="s">
        <v>98</v>
      </c>
      <c r="E44" s="121" t="s">
        <v>99</v>
      </c>
      <c r="F44" s="121">
        <v>44890</v>
      </c>
      <c r="G44" s="122" t="s">
        <v>181</v>
      </c>
    </row>
    <row r="45" spans="1:7" ht="16.5" thickTop="1" thickBot="1">
      <c r="A45" s="117">
        <v>44880</v>
      </c>
      <c r="B45" s="118" t="s">
        <v>182</v>
      </c>
      <c r="C45" s="119">
        <v>11702</v>
      </c>
      <c r="D45" s="120" t="s">
        <v>183</v>
      </c>
      <c r="E45" s="121" t="s">
        <v>99</v>
      </c>
      <c r="F45" s="121">
        <v>44890</v>
      </c>
      <c r="G45" s="122" t="s">
        <v>184</v>
      </c>
    </row>
    <row r="46" spans="1:7" ht="30" thickTop="1" thickBot="1">
      <c r="A46" s="117">
        <v>44880</v>
      </c>
      <c r="B46" s="118" t="s">
        <v>185</v>
      </c>
      <c r="C46" s="119">
        <v>11704</v>
      </c>
      <c r="D46" s="120" t="s">
        <v>98</v>
      </c>
      <c r="E46" s="121" t="s">
        <v>99</v>
      </c>
      <c r="F46" s="121">
        <v>44894</v>
      </c>
      <c r="G46" s="122" t="s">
        <v>186</v>
      </c>
    </row>
    <row r="47" spans="1:7" ht="44.25" thickTop="1" thickBot="1">
      <c r="A47" s="117">
        <v>44881</v>
      </c>
      <c r="B47" s="118" t="s">
        <v>187</v>
      </c>
      <c r="C47" s="119">
        <v>11705</v>
      </c>
      <c r="D47" s="120" t="s">
        <v>98</v>
      </c>
      <c r="E47" s="121" t="s">
        <v>99</v>
      </c>
      <c r="F47" s="121">
        <v>44894</v>
      </c>
      <c r="G47" s="122" t="s">
        <v>188</v>
      </c>
    </row>
    <row r="48" spans="1:7" ht="30" thickTop="1" thickBot="1">
      <c r="A48" s="117">
        <v>44881</v>
      </c>
      <c r="B48" s="118" t="s">
        <v>189</v>
      </c>
      <c r="C48" s="119">
        <v>11706</v>
      </c>
      <c r="D48" s="120" t="s">
        <v>98</v>
      </c>
      <c r="E48" s="121" t="s">
        <v>99</v>
      </c>
      <c r="F48" s="125">
        <v>44894</v>
      </c>
      <c r="G48" s="127" t="s">
        <v>190</v>
      </c>
    </row>
    <row r="49" spans="1:7" ht="46.5" thickTop="1" thickBot="1">
      <c r="A49" s="117">
        <v>44882</v>
      </c>
      <c r="B49" s="118" t="s">
        <v>191</v>
      </c>
      <c r="C49" s="119">
        <v>11707</v>
      </c>
      <c r="D49" s="120" t="s">
        <v>98</v>
      </c>
      <c r="E49" s="121" t="s">
        <v>99</v>
      </c>
      <c r="F49" s="121">
        <v>44886</v>
      </c>
      <c r="G49" s="122" t="s">
        <v>192</v>
      </c>
    </row>
    <row r="50" spans="1:7" ht="46.5" thickTop="1" thickBot="1">
      <c r="A50" s="117">
        <v>44883</v>
      </c>
      <c r="B50" s="118" t="s">
        <v>193</v>
      </c>
      <c r="C50" s="119">
        <v>11708</v>
      </c>
      <c r="D50" s="120" t="s">
        <v>98</v>
      </c>
      <c r="E50" s="121" t="s">
        <v>99</v>
      </c>
      <c r="F50" s="121">
        <v>44893</v>
      </c>
      <c r="G50" s="122" t="s">
        <v>194</v>
      </c>
    </row>
    <row r="51" spans="1:7" ht="30" thickTop="1" thickBot="1">
      <c r="A51" s="117">
        <v>44883</v>
      </c>
      <c r="B51" s="118" t="s">
        <v>195</v>
      </c>
      <c r="C51" s="119">
        <v>11709</v>
      </c>
      <c r="D51" s="120" t="s">
        <v>98</v>
      </c>
      <c r="E51" s="121" t="s">
        <v>99</v>
      </c>
      <c r="F51" s="121">
        <v>44897</v>
      </c>
      <c r="G51" s="122" t="s">
        <v>196</v>
      </c>
    </row>
    <row r="52" spans="1:7" ht="30" thickTop="1" thickBot="1">
      <c r="A52" s="117">
        <v>44883</v>
      </c>
      <c r="B52" s="118" t="s">
        <v>197</v>
      </c>
      <c r="C52" s="119">
        <v>11710</v>
      </c>
      <c r="D52" s="120" t="s">
        <v>98</v>
      </c>
      <c r="E52" s="121" t="s">
        <v>99</v>
      </c>
      <c r="F52" s="121">
        <v>44896</v>
      </c>
      <c r="G52" s="122" t="s">
        <v>198</v>
      </c>
    </row>
    <row r="53" spans="1:7" ht="30" thickTop="1" thickBot="1">
      <c r="A53" s="117">
        <v>44884</v>
      </c>
      <c r="B53" s="118" t="s">
        <v>199</v>
      </c>
      <c r="C53" s="119">
        <v>11713</v>
      </c>
      <c r="D53" s="120" t="s">
        <v>98</v>
      </c>
      <c r="E53" s="121" t="s">
        <v>99</v>
      </c>
      <c r="F53" s="121">
        <v>44896</v>
      </c>
      <c r="G53" s="122" t="s">
        <v>200</v>
      </c>
    </row>
    <row r="54" spans="1:7" ht="30" thickTop="1" thickBot="1">
      <c r="A54" s="117">
        <v>44883</v>
      </c>
      <c r="B54" s="118" t="s">
        <v>201</v>
      </c>
      <c r="C54" s="119">
        <v>11714</v>
      </c>
      <c r="D54" s="120" t="s">
        <v>98</v>
      </c>
      <c r="E54" s="121" t="s">
        <v>99</v>
      </c>
      <c r="F54" s="121">
        <v>44896</v>
      </c>
      <c r="G54" s="122" t="s">
        <v>202</v>
      </c>
    </row>
    <row r="55" spans="1:7" ht="30" thickTop="1" thickBot="1">
      <c r="A55" s="117">
        <v>44886</v>
      </c>
      <c r="B55" s="118" t="s">
        <v>203</v>
      </c>
      <c r="C55" s="119">
        <v>11715</v>
      </c>
      <c r="D55" s="120" t="s">
        <v>98</v>
      </c>
      <c r="E55" s="121" t="s">
        <v>99</v>
      </c>
      <c r="F55" s="121">
        <v>44900</v>
      </c>
      <c r="G55" s="122" t="s">
        <v>204</v>
      </c>
    </row>
    <row r="56" spans="1:7" ht="46.5" thickTop="1" thickBot="1">
      <c r="A56" s="117">
        <v>44886</v>
      </c>
      <c r="B56" s="118" t="s">
        <v>205</v>
      </c>
      <c r="C56" s="119">
        <v>11716</v>
      </c>
      <c r="D56" s="120" t="s">
        <v>98</v>
      </c>
      <c r="E56" s="121" t="s">
        <v>99</v>
      </c>
      <c r="F56" s="121">
        <v>44897</v>
      </c>
      <c r="G56" s="122" t="s">
        <v>206</v>
      </c>
    </row>
    <row r="57" spans="1:7" ht="30" thickTop="1" thickBot="1">
      <c r="A57" s="117">
        <v>44887</v>
      </c>
      <c r="B57" s="118" t="s">
        <v>207</v>
      </c>
      <c r="C57" s="119">
        <v>11717</v>
      </c>
      <c r="D57" s="120" t="s">
        <v>98</v>
      </c>
      <c r="E57" s="121" t="s">
        <v>99</v>
      </c>
      <c r="F57" s="121">
        <v>44900</v>
      </c>
      <c r="G57" s="122" t="s">
        <v>208</v>
      </c>
    </row>
    <row r="58" spans="1:7" ht="30" thickTop="1" thickBot="1">
      <c r="A58" s="117">
        <v>44888</v>
      </c>
      <c r="B58" s="118" t="s">
        <v>209</v>
      </c>
      <c r="C58" s="119">
        <v>11718</v>
      </c>
      <c r="D58" s="120" t="s">
        <v>98</v>
      </c>
      <c r="E58" s="121" t="s">
        <v>99</v>
      </c>
      <c r="F58" s="121">
        <v>44902</v>
      </c>
      <c r="G58" s="121" t="s">
        <v>210</v>
      </c>
    </row>
    <row r="59" spans="1:7" ht="44.25" thickTop="1" thickBot="1">
      <c r="A59" s="117">
        <v>44888</v>
      </c>
      <c r="B59" s="118" t="s">
        <v>211</v>
      </c>
      <c r="C59" s="119">
        <v>11719</v>
      </c>
      <c r="D59" s="134" t="s">
        <v>212</v>
      </c>
      <c r="E59" s="121" t="s">
        <v>99</v>
      </c>
      <c r="F59" s="121">
        <v>44890</v>
      </c>
      <c r="G59" s="122" t="s">
        <v>213</v>
      </c>
    </row>
    <row r="60" spans="1:7" ht="46.5" thickTop="1" thickBot="1">
      <c r="A60" s="117">
        <v>44889</v>
      </c>
      <c r="B60" s="135" t="s">
        <v>214</v>
      </c>
      <c r="C60" s="119">
        <v>11720</v>
      </c>
      <c r="D60" s="120" t="s">
        <v>98</v>
      </c>
      <c r="E60" s="121" t="s">
        <v>99</v>
      </c>
      <c r="F60" s="121">
        <v>44893</v>
      </c>
      <c r="G60" s="122" t="s">
        <v>215</v>
      </c>
    </row>
    <row r="61" spans="1:7" ht="46.5" thickTop="1" thickBot="1">
      <c r="A61" s="117">
        <v>44889</v>
      </c>
      <c r="B61" s="135" t="s">
        <v>216</v>
      </c>
      <c r="C61" s="119">
        <v>11721</v>
      </c>
      <c r="D61" s="120" t="s">
        <v>98</v>
      </c>
      <c r="E61" s="121" t="s">
        <v>99</v>
      </c>
      <c r="F61" s="121">
        <v>44907</v>
      </c>
      <c r="G61" s="122" t="s">
        <v>217</v>
      </c>
    </row>
    <row r="62" spans="1:7" ht="30" thickTop="1" thickBot="1">
      <c r="A62" s="117">
        <v>44889</v>
      </c>
      <c r="B62" s="135" t="s">
        <v>218</v>
      </c>
      <c r="C62" s="119">
        <v>11722</v>
      </c>
      <c r="D62" s="120" t="s">
        <v>98</v>
      </c>
      <c r="E62" s="121" t="s">
        <v>99</v>
      </c>
      <c r="F62" s="136">
        <v>44901</v>
      </c>
      <c r="G62" s="137" t="s">
        <v>219</v>
      </c>
    </row>
    <row r="63" spans="1:7" ht="31.5" thickTop="1" thickBot="1">
      <c r="A63" s="117">
        <v>44889</v>
      </c>
      <c r="B63" s="135" t="s">
        <v>103</v>
      </c>
      <c r="C63" s="119">
        <v>11723</v>
      </c>
      <c r="D63" s="120" t="s">
        <v>98</v>
      </c>
      <c r="E63" s="121" t="s">
        <v>99</v>
      </c>
      <c r="F63" s="136">
        <v>44895</v>
      </c>
      <c r="G63" s="138" t="s">
        <v>220</v>
      </c>
    </row>
    <row r="64" spans="1:7" ht="30" thickTop="1" thickBot="1">
      <c r="A64" s="117">
        <v>44891</v>
      </c>
      <c r="B64" s="135" t="s">
        <v>221</v>
      </c>
      <c r="C64" s="139">
        <v>11724</v>
      </c>
      <c r="D64" s="120" t="s">
        <v>98</v>
      </c>
      <c r="E64" s="121" t="s">
        <v>99</v>
      </c>
      <c r="F64" s="136">
        <v>44897</v>
      </c>
      <c r="G64" s="137" t="s">
        <v>222</v>
      </c>
    </row>
    <row r="65" spans="1:7" ht="30" thickTop="1" thickBot="1">
      <c r="A65" s="140">
        <v>44893</v>
      </c>
      <c r="B65" s="135" t="s">
        <v>223</v>
      </c>
      <c r="C65" s="139">
        <v>11725</v>
      </c>
      <c r="D65" s="120" t="s">
        <v>98</v>
      </c>
      <c r="E65" s="121" t="s">
        <v>99</v>
      </c>
      <c r="F65" s="136">
        <v>44902</v>
      </c>
      <c r="G65" s="137" t="s">
        <v>224</v>
      </c>
    </row>
    <row r="66" spans="1:7" ht="30" thickTop="1" thickBot="1">
      <c r="A66" s="140">
        <v>44893</v>
      </c>
      <c r="B66" s="135" t="s">
        <v>225</v>
      </c>
      <c r="C66" s="139">
        <v>11726</v>
      </c>
      <c r="D66" s="120" t="s">
        <v>98</v>
      </c>
      <c r="E66" s="121" t="s">
        <v>99</v>
      </c>
      <c r="F66" s="136">
        <v>44904</v>
      </c>
      <c r="G66" s="137" t="s">
        <v>226</v>
      </c>
    </row>
    <row r="67" spans="1:7" ht="30" thickTop="1" thickBot="1">
      <c r="A67" s="140">
        <v>44893</v>
      </c>
      <c r="B67" s="135" t="s">
        <v>227</v>
      </c>
      <c r="C67" s="139">
        <v>11727</v>
      </c>
      <c r="D67" s="120" t="s">
        <v>98</v>
      </c>
      <c r="E67" s="121" t="s">
        <v>99</v>
      </c>
      <c r="F67" s="140">
        <v>44908</v>
      </c>
      <c r="G67" s="137" t="s">
        <v>228</v>
      </c>
    </row>
    <row r="68" spans="1:7" ht="31.5" thickTop="1" thickBot="1">
      <c r="A68" s="140">
        <v>44893</v>
      </c>
      <c r="B68" s="135" t="s">
        <v>229</v>
      </c>
      <c r="C68" s="139">
        <v>11728</v>
      </c>
      <c r="D68" s="120" t="s">
        <v>98</v>
      </c>
      <c r="E68" s="121" t="s">
        <v>99</v>
      </c>
      <c r="F68" s="140">
        <v>44908</v>
      </c>
      <c r="G68" s="138" t="s">
        <v>230</v>
      </c>
    </row>
    <row r="69" spans="1:7" ht="44.25" thickTop="1" thickBot="1">
      <c r="A69" s="140">
        <v>44894</v>
      </c>
      <c r="B69" s="135" t="s">
        <v>97</v>
      </c>
      <c r="C69" s="139">
        <v>11729</v>
      </c>
      <c r="D69" s="120" t="s">
        <v>98</v>
      </c>
      <c r="E69" s="121" t="s">
        <v>99</v>
      </c>
      <c r="F69" s="136">
        <v>44901</v>
      </c>
      <c r="G69" s="137" t="s">
        <v>231</v>
      </c>
    </row>
    <row r="70" spans="1:7" ht="46.5" thickTop="1" thickBot="1">
      <c r="A70" s="140">
        <v>44895</v>
      </c>
      <c r="B70" s="135" t="s">
        <v>232</v>
      </c>
      <c r="C70" s="139">
        <v>11730</v>
      </c>
      <c r="D70" s="120" t="s">
        <v>98</v>
      </c>
      <c r="E70" s="121" t="s">
        <v>99</v>
      </c>
      <c r="F70" s="136">
        <v>44901</v>
      </c>
      <c r="G70" s="138" t="s">
        <v>233</v>
      </c>
    </row>
    <row r="71" spans="1:7" ht="36" customHeight="1" thickTop="1" thickBot="1">
      <c r="A71" s="141">
        <v>44895</v>
      </c>
      <c r="B71" s="135" t="s">
        <v>234</v>
      </c>
      <c r="C71" s="139">
        <v>11731</v>
      </c>
      <c r="D71" s="124" t="s">
        <v>109</v>
      </c>
      <c r="E71" s="121" t="s">
        <v>235</v>
      </c>
      <c r="F71" s="136">
        <v>44917</v>
      </c>
      <c r="G71" s="142"/>
    </row>
    <row r="72" spans="1:7" ht="30" thickTop="1" thickBot="1">
      <c r="A72" s="140">
        <v>44895</v>
      </c>
      <c r="B72" s="135" t="s">
        <v>236</v>
      </c>
      <c r="C72" s="139">
        <v>11732</v>
      </c>
      <c r="D72" s="120" t="s">
        <v>98</v>
      </c>
      <c r="E72" s="121" t="s">
        <v>99</v>
      </c>
      <c r="F72" s="136">
        <v>44909</v>
      </c>
      <c r="G72" s="137" t="s">
        <v>237</v>
      </c>
    </row>
    <row r="73" spans="1:7" ht="72.75" thickTop="1" thickBot="1">
      <c r="A73" s="140">
        <v>44895</v>
      </c>
      <c r="B73" s="135" t="s">
        <v>238</v>
      </c>
      <c r="C73" s="139">
        <v>11733</v>
      </c>
      <c r="D73" s="120" t="s">
        <v>98</v>
      </c>
      <c r="E73" s="121" t="s">
        <v>99</v>
      </c>
      <c r="F73" s="136">
        <v>44895</v>
      </c>
      <c r="G73" s="138" t="s">
        <v>239</v>
      </c>
    </row>
    <row r="74" spans="1:7" ht="30" thickTop="1" thickBot="1">
      <c r="A74" s="140">
        <v>44895</v>
      </c>
      <c r="B74" s="135" t="s">
        <v>240</v>
      </c>
      <c r="C74" s="139">
        <v>11734</v>
      </c>
      <c r="D74" s="120" t="s">
        <v>98</v>
      </c>
      <c r="E74" s="121" t="s">
        <v>99</v>
      </c>
      <c r="F74" s="136">
        <v>44909</v>
      </c>
      <c r="G74" s="137" t="s">
        <v>241</v>
      </c>
    </row>
    <row r="75" spans="1:7" ht="30" thickTop="1" thickBot="1">
      <c r="A75" s="140">
        <v>44895</v>
      </c>
      <c r="B75" s="135" t="s">
        <v>242</v>
      </c>
      <c r="C75" s="139">
        <v>11735</v>
      </c>
      <c r="D75" s="118" t="s">
        <v>112</v>
      </c>
      <c r="E75" s="121" t="s">
        <v>99</v>
      </c>
      <c r="F75" s="136">
        <v>44900</v>
      </c>
      <c r="G75" s="137" t="s">
        <v>243</v>
      </c>
    </row>
    <row r="76" spans="1:7" ht="15.75" thickTop="1"/>
    <row r="77" spans="1:7">
      <c r="A77" s="77" t="s">
        <v>55</v>
      </c>
      <c r="B77" s="77" t="s">
        <v>60</v>
      </c>
    </row>
  </sheetData>
  <dataValidations count="5">
    <dataValidation type="list" allowBlank="1" showInputMessage="1" showErrorMessage="1" sqref="D4:D8 D11:D12">
      <formula1>$D$274:$D$286</formula1>
    </dataValidation>
    <dataValidation type="list" allowBlank="1" showInputMessage="1" showErrorMessage="1" sqref="D34:D35 D14:D15">
      <formula1>$D$287:$D$299</formula1>
    </dataValidation>
    <dataValidation type="list" allowBlank="1" showInputMessage="1" showErrorMessage="1" sqref="D18:D21 D23:D26 D28:D32">
      <formula1>$D$267:$D$279</formula1>
    </dataValidation>
    <dataValidation type="list" allowBlank="1" showInputMessage="1" showErrorMessage="1" sqref="D37:D44 D72:D74 D60:D70 D46 D48:D58">
      <formula1>$D$255:$D$267</formula1>
    </dataValidation>
    <dataValidation type="list" allowBlank="1" showInputMessage="1" showErrorMessage="1" sqref="D47">
      <formula1>$D$283:$D$295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workbookViewId="0">
      <selection activeCell="C16" sqref="C16"/>
    </sheetView>
  </sheetViews>
  <sheetFormatPr baseColWidth="10" defaultRowHeight="15"/>
  <cols>
    <col min="2" max="3" width="17.7109375" customWidth="1"/>
    <col min="8" max="8" width="14.5703125" customWidth="1"/>
  </cols>
  <sheetData>
    <row r="1" spans="2:11" ht="15.75" thickBot="1"/>
    <row r="2" spans="2:11" ht="27" thickTop="1" thickBo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>
      <c r="B3" s="6" t="s">
        <v>34</v>
      </c>
      <c r="C3" s="15" t="s">
        <v>35</v>
      </c>
      <c r="D3" s="9">
        <v>0</v>
      </c>
      <c r="E3" s="9">
        <v>0</v>
      </c>
      <c r="F3" s="9">
        <v>0</v>
      </c>
      <c r="G3" s="10">
        <v>0</v>
      </c>
      <c r="H3" s="10">
        <v>6</v>
      </c>
      <c r="I3" s="9">
        <v>0</v>
      </c>
      <c r="J3" s="11">
        <v>6</v>
      </c>
      <c r="K3" s="5">
        <v>0.3</v>
      </c>
    </row>
    <row r="4" spans="2:11" ht="35.25" thickTop="1" thickBot="1">
      <c r="B4" s="143" t="s">
        <v>10</v>
      </c>
      <c r="C4" s="3" t="s">
        <v>11</v>
      </c>
      <c r="D4" s="14">
        <v>0</v>
      </c>
      <c r="E4" s="14">
        <v>0</v>
      </c>
      <c r="F4" s="14">
        <v>1</v>
      </c>
      <c r="G4" s="14">
        <v>286</v>
      </c>
      <c r="H4" s="14">
        <v>1497</v>
      </c>
      <c r="I4" s="14">
        <v>0</v>
      </c>
      <c r="J4" s="11">
        <v>1784</v>
      </c>
      <c r="K4" s="5">
        <v>88.67</v>
      </c>
    </row>
    <row r="5" spans="2:11" ht="24" thickTop="1" thickBot="1">
      <c r="B5" s="144"/>
      <c r="C5" s="3" t="s">
        <v>12</v>
      </c>
      <c r="D5" s="14">
        <v>0</v>
      </c>
      <c r="E5" s="14">
        <v>0</v>
      </c>
      <c r="F5" s="14">
        <v>0</v>
      </c>
      <c r="G5" s="14">
        <v>31</v>
      </c>
      <c r="H5" s="14">
        <v>135</v>
      </c>
      <c r="I5" s="14">
        <v>0</v>
      </c>
      <c r="J5" s="11">
        <v>166</v>
      </c>
      <c r="K5" s="5">
        <v>8.25</v>
      </c>
    </row>
    <row r="6" spans="2:11" ht="24" thickTop="1" thickBot="1">
      <c r="B6" s="143" t="s">
        <v>13</v>
      </c>
      <c r="C6" s="3" t="s">
        <v>36</v>
      </c>
      <c r="D6" s="14">
        <v>1</v>
      </c>
      <c r="E6" s="14">
        <v>0</v>
      </c>
      <c r="F6" s="14">
        <v>0</v>
      </c>
      <c r="G6" s="14">
        <v>0</v>
      </c>
      <c r="H6" s="14">
        <v>0</v>
      </c>
      <c r="I6" s="16">
        <v>2</v>
      </c>
      <c r="J6" s="11">
        <v>3</v>
      </c>
      <c r="K6" s="5">
        <v>0.15</v>
      </c>
    </row>
    <row r="7" spans="2:11" ht="24" thickTop="1" thickBot="1">
      <c r="B7" s="153"/>
      <c r="C7" s="3" t="s">
        <v>14</v>
      </c>
      <c r="D7" s="10">
        <v>10</v>
      </c>
      <c r="E7" s="14">
        <v>0</v>
      </c>
      <c r="F7" s="14">
        <v>0</v>
      </c>
      <c r="G7" s="14">
        <v>0</v>
      </c>
      <c r="H7" s="14">
        <v>0</v>
      </c>
      <c r="I7" s="14">
        <v>0</v>
      </c>
      <c r="J7" s="11">
        <v>10</v>
      </c>
      <c r="K7" s="5">
        <v>0.5</v>
      </c>
    </row>
    <row r="8" spans="2:11" ht="24" thickTop="1" thickBot="1">
      <c r="B8" s="154" t="s">
        <v>15</v>
      </c>
      <c r="C8" s="3" t="s">
        <v>39</v>
      </c>
      <c r="D8" s="10">
        <v>1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1">
        <v>1</v>
      </c>
      <c r="K8" s="5">
        <v>0.05</v>
      </c>
    </row>
    <row r="9" spans="2:11" ht="46.5" thickTop="1" thickBot="1">
      <c r="B9" s="153"/>
      <c r="C9" s="3" t="s">
        <v>40</v>
      </c>
      <c r="D9" s="10">
        <v>1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1">
        <v>1</v>
      </c>
      <c r="K9" s="5">
        <v>0.05</v>
      </c>
    </row>
    <row r="10" spans="2:11" ht="16.5" thickTop="1" thickBot="1">
      <c r="B10" s="154" t="s">
        <v>17</v>
      </c>
      <c r="C10" s="3" t="s">
        <v>41</v>
      </c>
      <c r="D10" s="10">
        <v>2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  <c r="J10" s="11">
        <v>2</v>
      </c>
      <c r="K10" s="5">
        <v>0.1</v>
      </c>
    </row>
    <row r="11" spans="2:11" ht="35.25" thickTop="1" thickBot="1">
      <c r="B11" s="153"/>
      <c r="C11" s="3" t="s">
        <v>18</v>
      </c>
      <c r="D11" s="10">
        <v>0</v>
      </c>
      <c r="E11" s="14">
        <v>0</v>
      </c>
      <c r="F11" s="14">
        <v>0</v>
      </c>
      <c r="G11" s="14">
        <v>0</v>
      </c>
      <c r="H11" s="10">
        <v>1</v>
      </c>
      <c r="I11" s="14">
        <v>0</v>
      </c>
      <c r="J11" s="11">
        <v>1</v>
      </c>
      <c r="K11" s="5">
        <v>0</v>
      </c>
    </row>
    <row r="12" spans="2:11" ht="16.5" thickTop="1" thickBot="1">
      <c r="B12" s="154" t="s">
        <v>19</v>
      </c>
      <c r="C12" s="3" t="s">
        <v>20</v>
      </c>
      <c r="D12" s="10">
        <v>7</v>
      </c>
      <c r="E12" s="14">
        <v>0</v>
      </c>
      <c r="F12" s="10">
        <v>2</v>
      </c>
      <c r="G12" s="14">
        <v>0</v>
      </c>
      <c r="H12" s="14">
        <v>0</v>
      </c>
      <c r="I12" s="14">
        <v>0</v>
      </c>
      <c r="J12" s="11">
        <v>9</v>
      </c>
      <c r="K12" s="5">
        <v>0.45</v>
      </c>
    </row>
    <row r="13" spans="2:11" ht="16.5" thickTop="1" thickBot="1">
      <c r="B13" s="144"/>
      <c r="C13" s="3" t="s">
        <v>21</v>
      </c>
      <c r="D13" s="10">
        <v>17</v>
      </c>
      <c r="E13" s="14">
        <v>0</v>
      </c>
      <c r="F13" s="10">
        <v>0</v>
      </c>
      <c r="G13" s="14">
        <v>0</v>
      </c>
      <c r="H13" s="14">
        <v>0</v>
      </c>
      <c r="I13" s="14">
        <v>0</v>
      </c>
      <c r="J13" s="11">
        <v>17</v>
      </c>
      <c r="K13" s="5">
        <v>0.84</v>
      </c>
    </row>
    <row r="14" spans="2:11" ht="16.5" thickTop="1" thickBot="1">
      <c r="B14" s="6" t="s">
        <v>22</v>
      </c>
      <c r="C14" s="3" t="s">
        <v>23</v>
      </c>
      <c r="D14" s="10">
        <v>1</v>
      </c>
      <c r="E14" s="14">
        <v>0</v>
      </c>
      <c r="F14" s="10">
        <v>0</v>
      </c>
      <c r="G14" s="14">
        <v>0</v>
      </c>
      <c r="H14" s="14">
        <v>0</v>
      </c>
      <c r="I14" s="14">
        <v>0</v>
      </c>
      <c r="J14" s="11">
        <v>1</v>
      </c>
      <c r="K14" s="5">
        <v>0.05</v>
      </c>
    </row>
    <row r="15" spans="2:11" ht="24" thickTop="1" thickBot="1">
      <c r="B15" s="143" t="s">
        <v>26</v>
      </c>
      <c r="C15" s="3" t="s">
        <v>27</v>
      </c>
      <c r="D15" s="10">
        <v>1</v>
      </c>
      <c r="E15" s="14">
        <v>0</v>
      </c>
      <c r="F15" s="10">
        <v>0</v>
      </c>
      <c r="G15" s="14">
        <v>0</v>
      </c>
      <c r="H15" s="10">
        <v>1</v>
      </c>
      <c r="I15" s="14">
        <v>0</v>
      </c>
      <c r="J15" s="11">
        <v>2</v>
      </c>
      <c r="K15" s="5">
        <v>0.1</v>
      </c>
    </row>
    <row r="16" spans="2:11" ht="16.5" thickTop="1" thickBot="1">
      <c r="B16" s="155"/>
      <c r="C16" s="3" t="s">
        <v>37</v>
      </c>
      <c r="D16" s="10">
        <v>0</v>
      </c>
      <c r="E16" s="14">
        <v>0</v>
      </c>
      <c r="F16" s="10">
        <v>0</v>
      </c>
      <c r="G16" s="14">
        <v>0</v>
      </c>
      <c r="H16" s="10">
        <v>2</v>
      </c>
      <c r="I16" s="14">
        <v>0</v>
      </c>
      <c r="J16" s="16">
        <v>2</v>
      </c>
      <c r="K16" s="5">
        <v>0.1</v>
      </c>
    </row>
    <row r="17" spans="2:11" ht="16.5" thickTop="1" thickBot="1">
      <c r="B17" s="144"/>
      <c r="C17" s="3" t="s">
        <v>28</v>
      </c>
      <c r="D17" s="14">
        <v>5</v>
      </c>
      <c r="E17" s="14">
        <v>0</v>
      </c>
      <c r="F17" s="10">
        <v>1</v>
      </c>
      <c r="G17" s="14">
        <v>0</v>
      </c>
      <c r="H17" s="10">
        <v>0</v>
      </c>
      <c r="I17" s="14">
        <v>0</v>
      </c>
      <c r="J17" s="16">
        <v>6</v>
      </c>
      <c r="K17" s="5">
        <v>0.3</v>
      </c>
    </row>
    <row r="18" spans="2:11" ht="35.25" thickTop="1" thickBot="1">
      <c r="B18" s="6" t="s">
        <v>31</v>
      </c>
      <c r="C18" s="3" t="s">
        <v>32</v>
      </c>
      <c r="D18" s="10">
        <v>1</v>
      </c>
      <c r="E18" s="14">
        <v>0</v>
      </c>
      <c r="F18" s="10">
        <v>0</v>
      </c>
      <c r="G18" s="14">
        <v>0</v>
      </c>
      <c r="H18" s="10">
        <v>0</v>
      </c>
      <c r="I18" s="14">
        <v>0</v>
      </c>
      <c r="J18" s="16">
        <v>1</v>
      </c>
      <c r="K18" s="5">
        <v>0.05</v>
      </c>
    </row>
    <row r="19" spans="2:11" ht="16.5" thickTop="1" thickBot="1">
      <c r="B19" s="151" t="s">
        <v>42</v>
      </c>
      <c r="C19" s="152"/>
      <c r="D19" s="5">
        <v>47</v>
      </c>
      <c r="E19" s="5">
        <v>0</v>
      </c>
      <c r="F19" s="5">
        <v>4</v>
      </c>
      <c r="G19" s="5">
        <v>317</v>
      </c>
      <c r="H19" s="5">
        <v>1642</v>
      </c>
      <c r="I19" s="5">
        <v>2</v>
      </c>
      <c r="J19" s="5">
        <v>2012</v>
      </c>
      <c r="K19" s="5">
        <v>100</v>
      </c>
    </row>
    <row r="20" spans="2:11" ht="15.75" thickTop="1"/>
  </sheetData>
  <mergeCells count="7">
    <mergeCell ref="B19:C19"/>
    <mergeCell ref="B4:B5"/>
    <mergeCell ref="B6:B7"/>
    <mergeCell ref="B8:B9"/>
    <mergeCell ref="B10:B11"/>
    <mergeCell ref="B12:B13"/>
    <mergeCell ref="B15:B17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topLeftCell="A7" workbookViewId="0">
      <selection activeCell="B13" sqref="B13"/>
    </sheetView>
  </sheetViews>
  <sheetFormatPr baseColWidth="10" defaultRowHeight="15"/>
  <cols>
    <col min="1" max="1" width="16.28515625" customWidth="1"/>
    <col min="2" max="2" width="38.140625" customWidth="1"/>
    <col min="3" max="3" width="11.5703125" bestFit="1" customWidth="1"/>
    <col min="4" max="4" width="17.85546875" customWidth="1"/>
    <col min="5" max="5" width="20.85546875" customWidth="1"/>
    <col min="6" max="6" width="12.140625" bestFit="1" customWidth="1"/>
    <col min="7" max="7" width="22.5703125" customWidth="1"/>
  </cols>
  <sheetData>
    <row r="1" spans="1:7" ht="15.75" thickBot="1"/>
    <row r="2" spans="1:7" ht="52.5" customHeight="1" thickTop="1" thickBot="1">
      <c r="A2" s="116" t="s">
        <v>90</v>
      </c>
      <c r="B2" s="116" t="s">
        <v>91</v>
      </c>
      <c r="C2" s="116" t="s">
        <v>92</v>
      </c>
      <c r="D2" s="116" t="s">
        <v>93</v>
      </c>
      <c r="E2" s="116" t="s">
        <v>94</v>
      </c>
      <c r="F2" s="116" t="s">
        <v>95</v>
      </c>
      <c r="G2" s="116" t="s">
        <v>96</v>
      </c>
    </row>
    <row r="3" spans="1:7" s="185" customFormat="1" ht="47.25" customHeight="1" thickTop="1" thickBot="1">
      <c r="A3" s="179">
        <v>44896</v>
      </c>
      <c r="B3" s="180" t="s">
        <v>244</v>
      </c>
      <c r="C3" s="181">
        <v>11736</v>
      </c>
      <c r="D3" s="180" t="s">
        <v>98</v>
      </c>
      <c r="E3" s="182" t="s">
        <v>99</v>
      </c>
      <c r="F3" s="183">
        <v>44902</v>
      </c>
      <c r="G3" s="184" t="s">
        <v>245</v>
      </c>
    </row>
    <row r="4" spans="1:7" s="185" customFormat="1" ht="48.75" thickTop="1" thickBot="1">
      <c r="A4" s="179">
        <v>44896</v>
      </c>
      <c r="B4" s="180" t="s">
        <v>246</v>
      </c>
      <c r="C4" s="181">
        <v>11737</v>
      </c>
      <c r="D4" s="180" t="s">
        <v>98</v>
      </c>
      <c r="E4" s="182" t="s">
        <v>99</v>
      </c>
      <c r="F4" s="183">
        <v>44916</v>
      </c>
      <c r="G4" s="184" t="s">
        <v>247</v>
      </c>
    </row>
    <row r="5" spans="1:7" s="185" customFormat="1" ht="33" thickTop="1" thickBot="1">
      <c r="A5" s="179">
        <v>44897</v>
      </c>
      <c r="B5" s="180" t="s">
        <v>248</v>
      </c>
      <c r="C5" s="181">
        <v>11738</v>
      </c>
      <c r="D5" s="180" t="s">
        <v>98</v>
      </c>
      <c r="E5" s="182" t="s">
        <v>99</v>
      </c>
      <c r="F5" s="183">
        <v>44909</v>
      </c>
      <c r="G5" s="184" t="s">
        <v>241</v>
      </c>
    </row>
    <row r="6" spans="1:7" s="185" customFormat="1" ht="33" thickTop="1" thickBot="1">
      <c r="A6" s="179">
        <v>44896</v>
      </c>
      <c r="B6" s="180" t="s">
        <v>249</v>
      </c>
      <c r="C6" s="181">
        <v>11739</v>
      </c>
      <c r="D6" s="180" t="s">
        <v>98</v>
      </c>
      <c r="E6" s="182" t="s">
        <v>99</v>
      </c>
      <c r="F6" s="183">
        <v>44914</v>
      </c>
      <c r="G6" s="184" t="s">
        <v>250</v>
      </c>
    </row>
    <row r="7" spans="1:7" s="185" customFormat="1" ht="57" customHeight="1" thickTop="1" thickBot="1">
      <c r="A7" s="179">
        <v>44896</v>
      </c>
      <c r="B7" s="180" t="s">
        <v>251</v>
      </c>
      <c r="C7" s="181">
        <v>11740</v>
      </c>
      <c r="D7" s="180" t="s">
        <v>212</v>
      </c>
      <c r="E7" s="182" t="s">
        <v>99</v>
      </c>
      <c r="F7" s="183">
        <v>44910</v>
      </c>
      <c r="G7" s="184" t="s">
        <v>252</v>
      </c>
    </row>
    <row r="8" spans="1:7" s="185" customFormat="1" ht="64.5" thickTop="1" thickBot="1">
      <c r="A8" s="179">
        <v>44897</v>
      </c>
      <c r="B8" s="180" t="s">
        <v>253</v>
      </c>
      <c r="C8" s="181">
        <v>11741</v>
      </c>
      <c r="D8" s="180" t="s">
        <v>158</v>
      </c>
      <c r="E8" s="182" t="s">
        <v>99</v>
      </c>
      <c r="F8" s="183">
        <v>44909</v>
      </c>
      <c r="G8" s="184" t="s">
        <v>254</v>
      </c>
    </row>
    <row r="9" spans="1:7" s="185" customFormat="1" ht="33" thickTop="1" thickBot="1">
      <c r="A9" s="179">
        <v>44897</v>
      </c>
      <c r="B9" s="180" t="s">
        <v>255</v>
      </c>
      <c r="C9" s="181">
        <v>11742</v>
      </c>
      <c r="D9" s="186" t="s">
        <v>98</v>
      </c>
      <c r="E9" s="182" t="s">
        <v>99</v>
      </c>
      <c r="F9" s="183">
        <v>44914</v>
      </c>
      <c r="G9" s="184" t="s">
        <v>256</v>
      </c>
    </row>
    <row r="10" spans="1:7" s="185" customFormat="1" ht="48.75" thickTop="1" thickBot="1">
      <c r="A10" s="179">
        <v>44897</v>
      </c>
      <c r="B10" s="180" t="s">
        <v>257</v>
      </c>
      <c r="C10" s="181">
        <v>11743</v>
      </c>
      <c r="D10" s="186" t="s">
        <v>98</v>
      </c>
      <c r="E10" s="182" t="s">
        <v>99</v>
      </c>
      <c r="F10" s="183">
        <v>44902</v>
      </c>
      <c r="G10" s="184" t="s">
        <v>258</v>
      </c>
    </row>
    <row r="11" spans="1:7" s="185" customFormat="1" ht="33" thickTop="1" thickBot="1">
      <c r="A11" s="179">
        <v>44898</v>
      </c>
      <c r="B11" s="180" t="s">
        <v>209</v>
      </c>
      <c r="C11" s="181">
        <v>11744</v>
      </c>
      <c r="D11" s="186" t="s">
        <v>98</v>
      </c>
      <c r="E11" s="182" t="s">
        <v>99</v>
      </c>
      <c r="F11" s="183">
        <v>44914</v>
      </c>
      <c r="G11" s="184" t="s">
        <v>259</v>
      </c>
    </row>
    <row r="12" spans="1:7" s="185" customFormat="1" ht="33" thickTop="1" thickBot="1">
      <c r="A12" s="187">
        <v>44901</v>
      </c>
      <c r="B12" s="180" t="s">
        <v>260</v>
      </c>
      <c r="C12" s="181">
        <v>11745</v>
      </c>
      <c r="D12" s="186" t="s">
        <v>98</v>
      </c>
      <c r="E12" s="182" t="s">
        <v>99</v>
      </c>
      <c r="F12" s="183">
        <v>44916</v>
      </c>
      <c r="G12" s="184" t="s">
        <v>237</v>
      </c>
    </row>
    <row r="13" spans="1:7" s="185" customFormat="1" ht="100.5" customHeight="1" thickTop="1" thickBot="1">
      <c r="A13" s="187">
        <v>44900</v>
      </c>
      <c r="B13" s="180" t="s">
        <v>261</v>
      </c>
      <c r="C13" s="181">
        <v>11746</v>
      </c>
      <c r="D13" s="180" t="s">
        <v>158</v>
      </c>
      <c r="E13" s="182" t="s">
        <v>99</v>
      </c>
      <c r="F13" s="183">
        <v>44909</v>
      </c>
      <c r="G13" s="184" t="s">
        <v>262</v>
      </c>
    </row>
    <row r="14" spans="1:7" s="185" customFormat="1" ht="33" thickTop="1" thickBot="1">
      <c r="A14" s="187">
        <v>44900</v>
      </c>
      <c r="B14" s="180" t="s">
        <v>263</v>
      </c>
      <c r="C14" s="181">
        <v>11747</v>
      </c>
      <c r="D14" s="186" t="s">
        <v>98</v>
      </c>
      <c r="E14" s="182" t="s">
        <v>99</v>
      </c>
      <c r="F14" s="183">
        <v>44915</v>
      </c>
      <c r="G14" s="184" t="s">
        <v>264</v>
      </c>
    </row>
    <row r="15" spans="1:7" s="185" customFormat="1" ht="80.25" thickTop="1" thickBot="1">
      <c r="A15" s="187">
        <v>44901</v>
      </c>
      <c r="B15" s="180" t="s">
        <v>265</v>
      </c>
      <c r="C15" s="181">
        <v>11748</v>
      </c>
      <c r="D15" s="186" t="s">
        <v>98</v>
      </c>
      <c r="E15" s="182" t="s">
        <v>99</v>
      </c>
      <c r="F15" s="183">
        <v>44915</v>
      </c>
      <c r="G15" s="184" t="s">
        <v>266</v>
      </c>
    </row>
    <row r="16" spans="1:7" s="185" customFormat="1" ht="33" thickTop="1" thickBot="1">
      <c r="A16" s="187">
        <v>44901</v>
      </c>
      <c r="B16" s="180" t="s">
        <v>267</v>
      </c>
      <c r="C16" s="181">
        <v>11749</v>
      </c>
      <c r="D16" s="186" t="s">
        <v>98</v>
      </c>
      <c r="E16" s="182" t="s">
        <v>99</v>
      </c>
      <c r="F16" s="183">
        <v>44915</v>
      </c>
      <c r="G16" s="184" t="s">
        <v>268</v>
      </c>
    </row>
    <row r="17" spans="1:7" s="185" customFormat="1" ht="33" thickTop="1" thickBot="1">
      <c r="A17" s="187">
        <v>44901</v>
      </c>
      <c r="B17" s="180" t="s">
        <v>269</v>
      </c>
      <c r="C17" s="181">
        <v>11750</v>
      </c>
      <c r="D17" s="186" t="s">
        <v>98</v>
      </c>
      <c r="E17" s="182" t="s">
        <v>99</v>
      </c>
      <c r="F17" s="183">
        <v>44915</v>
      </c>
      <c r="G17" s="184" t="s">
        <v>270</v>
      </c>
    </row>
    <row r="18" spans="1:7" s="185" customFormat="1" ht="48.75" thickTop="1" thickBot="1">
      <c r="A18" s="187">
        <v>44901</v>
      </c>
      <c r="B18" s="180" t="s">
        <v>271</v>
      </c>
      <c r="C18" s="181">
        <v>11751</v>
      </c>
      <c r="D18" s="180" t="s">
        <v>158</v>
      </c>
      <c r="E18" s="182" t="s">
        <v>99</v>
      </c>
      <c r="F18" s="183">
        <v>44916</v>
      </c>
      <c r="G18" s="184" t="s">
        <v>272</v>
      </c>
    </row>
    <row r="19" spans="1:7" s="185" customFormat="1" ht="33" thickTop="1" thickBot="1">
      <c r="A19" s="187">
        <v>44902</v>
      </c>
      <c r="B19" s="180" t="s">
        <v>273</v>
      </c>
      <c r="C19" s="181">
        <v>11752</v>
      </c>
      <c r="D19" s="186" t="s">
        <v>98</v>
      </c>
      <c r="E19" s="182" t="s">
        <v>99</v>
      </c>
      <c r="F19" s="183">
        <v>44915</v>
      </c>
      <c r="G19" s="184" t="s">
        <v>274</v>
      </c>
    </row>
    <row r="20" spans="1:7" s="185" customFormat="1" ht="33" thickTop="1" thickBot="1">
      <c r="A20" s="187">
        <v>44902</v>
      </c>
      <c r="B20" s="180" t="s">
        <v>275</v>
      </c>
      <c r="C20" s="180">
        <v>11753</v>
      </c>
      <c r="D20" s="186" t="s">
        <v>98</v>
      </c>
      <c r="E20" s="182" t="s">
        <v>99</v>
      </c>
      <c r="F20" s="183">
        <v>44915</v>
      </c>
      <c r="G20" s="184" t="s">
        <v>276</v>
      </c>
    </row>
    <row r="21" spans="1:7" s="185" customFormat="1" ht="48.75" thickTop="1" thickBot="1">
      <c r="A21" s="187">
        <v>44904</v>
      </c>
      <c r="B21" s="180" t="s">
        <v>277</v>
      </c>
      <c r="C21" s="180">
        <v>11754</v>
      </c>
      <c r="D21" s="180" t="s">
        <v>212</v>
      </c>
      <c r="E21" s="182" t="s">
        <v>99</v>
      </c>
      <c r="F21" s="183">
        <v>44911</v>
      </c>
      <c r="G21" s="184" t="s">
        <v>278</v>
      </c>
    </row>
    <row r="22" spans="1:7" s="185" customFormat="1" ht="33" thickTop="1" thickBot="1">
      <c r="A22" s="187" t="s">
        <v>279</v>
      </c>
      <c r="B22" s="180" t="s">
        <v>255</v>
      </c>
      <c r="C22" s="180">
        <v>11755</v>
      </c>
      <c r="D22" s="186" t="s">
        <v>98</v>
      </c>
      <c r="E22" s="182" t="s">
        <v>99</v>
      </c>
      <c r="F22" s="183">
        <v>44914</v>
      </c>
      <c r="G22" s="184" t="s">
        <v>256</v>
      </c>
    </row>
    <row r="23" spans="1:7" s="185" customFormat="1" ht="33" thickTop="1" thickBot="1">
      <c r="A23" s="187" t="s">
        <v>279</v>
      </c>
      <c r="B23" s="180" t="s">
        <v>280</v>
      </c>
      <c r="C23" s="180">
        <v>11756</v>
      </c>
      <c r="D23" s="186" t="s">
        <v>98</v>
      </c>
      <c r="E23" s="182" t="s">
        <v>99</v>
      </c>
      <c r="F23" s="183">
        <v>44915</v>
      </c>
      <c r="G23" s="184" t="s">
        <v>281</v>
      </c>
    </row>
    <row r="24" spans="1:7" s="185" customFormat="1" ht="17.25" thickTop="1" thickBot="1">
      <c r="A24" s="187" t="s">
        <v>282</v>
      </c>
      <c r="B24" s="180" t="s">
        <v>283</v>
      </c>
      <c r="C24" s="180">
        <v>11757</v>
      </c>
      <c r="D24" s="186" t="s">
        <v>109</v>
      </c>
      <c r="E24" s="182" t="s">
        <v>99</v>
      </c>
      <c r="F24" s="183">
        <v>44921</v>
      </c>
      <c r="G24" s="184" t="s">
        <v>284</v>
      </c>
    </row>
    <row r="25" spans="1:7" s="185" customFormat="1" ht="17.25" thickTop="1" thickBot="1">
      <c r="A25" s="187">
        <v>44902</v>
      </c>
      <c r="B25" s="180" t="s">
        <v>285</v>
      </c>
      <c r="C25" s="180">
        <v>11758</v>
      </c>
      <c r="D25" s="186" t="s">
        <v>109</v>
      </c>
      <c r="E25" s="182" t="s">
        <v>99</v>
      </c>
      <c r="F25" s="183">
        <v>44915</v>
      </c>
      <c r="G25" s="184" t="s">
        <v>286</v>
      </c>
    </row>
    <row r="26" spans="1:7" s="185" customFormat="1" ht="33" thickTop="1" thickBot="1">
      <c r="A26" s="187">
        <v>44907</v>
      </c>
      <c r="B26" s="180" t="s">
        <v>287</v>
      </c>
      <c r="C26" s="180">
        <v>11759</v>
      </c>
      <c r="D26" s="186" t="s">
        <v>98</v>
      </c>
      <c r="E26" s="182" t="s">
        <v>99</v>
      </c>
      <c r="F26" s="183">
        <v>44918</v>
      </c>
      <c r="G26" s="184" t="s">
        <v>288</v>
      </c>
    </row>
    <row r="27" spans="1:7" s="185" customFormat="1" ht="48.75" thickTop="1" thickBot="1">
      <c r="A27" s="187">
        <v>44907</v>
      </c>
      <c r="B27" s="180" t="s">
        <v>289</v>
      </c>
      <c r="C27" s="180">
        <v>11760</v>
      </c>
      <c r="D27" s="186" t="s">
        <v>98</v>
      </c>
      <c r="E27" s="182" t="s">
        <v>99</v>
      </c>
      <c r="F27" s="183">
        <v>44918</v>
      </c>
      <c r="G27" s="184" t="s">
        <v>290</v>
      </c>
    </row>
    <row r="28" spans="1:7" s="185" customFormat="1" ht="33" thickTop="1" thickBot="1">
      <c r="A28" s="187">
        <v>44908</v>
      </c>
      <c r="B28" s="180" t="s">
        <v>291</v>
      </c>
      <c r="C28" s="180">
        <v>11761</v>
      </c>
      <c r="D28" s="186" t="s">
        <v>98</v>
      </c>
      <c r="E28" s="182" t="s">
        <v>99</v>
      </c>
      <c r="F28" s="183">
        <v>45286</v>
      </c>
      <c r="G28" s="184" t="s">
        <v>292</v>
      </c>
    </row>
    <row r="29" spans="1:7" s="185" customFormat="1" ht="33" thickTop="1" thickBot="1">
      <c r="A29" s="187">
        <v>44908</v>
      </c>
      <c r="B29" s="180" t="s">
        <v>293</v>
      </c>
      <c r="C29" s="180">
        <v>11763</v>
      </c>
      <c r="D29" s="180" t="s">
        <v>147</v>
      </c>
      <c r="E29" s="182" t="s">
        <v>99</v>
      </c>
      <c r="F29" s="183">
        <v>44917</v>
      </c>
      <c r="G29" s="184" t="s">
        <v>294</v>
      </c>
    </row>
    <row r="30" spans="1:7" s="185" customFormat="1" ht="48.75" thickTop="1" thickBot="1">
      <c r="A30" s="187">
        <v>44909</v>
      </c>
      <c r="B30" s="180" t="s">
        <v>295</v>
      </c>
      <c r="C30" s="180">
        <v>11764</v>
      </c>
      <c r="D30" s="186" t="s">
        <v>109</v>
      </c>
      <c r="E30" s="182" t="s">
        <v>99</v>
      </c>
      <c r="F30" s="183">
        <v>44918</v>
      </c>
      <c r="G30" s="184" t="s">
        <v>296</v>
      </c>
    </row>
    <row r="31" spans="1:7" s="185" customFormat="1" ht="38.25" customHeight="1" thickTop="1" thickBot="1">
      <c r="A31" s="187">
        <v>44910</v>
      </c>
      <c r="B31" s="180" t="s">
        <v>297</v>
      </c>
      <c r="C31" s="180">
        <v>11765</v>
      </c>
      <c r="D31" s="186" t="s">
        <v>98</v>
      </c>
      <c r="E31" s="182" t="s">
        <v>99</v>
      </c>
      <c r="F31" s="183">
        <v>44922</v>
      </c>
      <c r="G31" s="184" t="s">
        <v>298</v>
      </c>
    </row>
    <row r="32" spans="1:7" s="185" customFormat="1" ht="33" thickTop="1" thickBot="1">
      <c r="A32" s="187">
        <v>44910</v>
      </c>
      <c r="B32" s="180" t="s">
        <v>299</v>
      </c>
      <c r="C32" s="180">
        <v>11766</v>
      </c>
      <c r="D32" s="180" t="s">
        <v>112</v>
      </c>
      <c r="E32" s="182" t="s">
        <v>99</v>
      </c>
      <c r="F32" s="183">
        <v>44914</v>
      </c>
      <c r="G32" s="184" t="s">
        <v>300</v>
      </c>
    </row>
    <row r="33" spans="1:7" s="185" customFormat="1" ht="48.75" thickTop="1" thickBot="1">
      <c r="A33" s="187">
        <v>44910</v>
      </c>
      <c r="B33" s="180" t="s">
        <v>301</v>
      </c>
      <c r="C33" s="180">
        <v>11767</v>
      </c>
      <c r="D33" s="186" t="s">
        <v>98</v>
      </c>
      <c r="E33" s="182" t="s">
        <v>99</v>
      </c>
      <c r="F33" s="183">
        <v>44915</v>
      </c>
      <c r="G33" s="184" t="s">
        <v>302</v>
      </c>
    </row>
    <row r="34" spans="1:7" s="185" customFormat="1" ht="33" thickTop="1" thickBot="1">
      <c r="A34" s="180" t="s">
        <v>303</v>
      </c>
      <c r="B34" s="180" t="s">
        <v>304</v>
      </c>
      <c r="C34" s="180">
        <v>11768</v>
      </c>
      <c r="D34" s="186" t="s">
        <v>98</v>
      </c>
      <c r="E34" s="182" t="s">
        <v>99</v>
      </c>
      <c r="F34" s="183">
        <v>44924</v>
      </c>
      <c r="G34" s="184" t="s">
        <v>305</v>
      </c>
    </row>
    <row r="35" spans="1:7" s="185" customFormat="1" ht="33" thickTop="1" thickBot="1">
      <c r="A35" s="187">
        <v>44911</v>
      </c>
      <c r="B35" s="180" t="s">
        <v>307</v>
      </c>
      <c r="C35" s="180">
        <v>11769</v>
      </c>
      <c r="D35" s="186" t="s">
        <v>98</v>
      </c>
      <c r="E35" s="182" t="s">
        <v>99</v>
      </c>
      <c r="F35" s="183">
        <v>44918</v>
      </c>
      <c r="G35" s="184" t="s">
        <v>308</v>
      </c>
    </row>
    <row r="36" spans="1:7" s="185" customFormat="1" ht="42" customHeight="1" thickTop="1" thickBot="1">
      <c r="A36" s="187">
        <v>44913</v>
      </c>
      <c r="B36" s="180" t="s">
        <v>309</v>
      </c>
      <c r="C36" s="180">
        <v>11770</v>
      </c>
      <c r="D36" s="186" t="s">
        <v>98</v>
      </c>
      <c r="E36" s="182" t="s">
        <v>99</v>
      </c>
      <c r="F36" s="183">
        <v>44922</v>
      </c>
      <c r="G36" s="184" t="s">
        <v>310</v>
      </c>
    </row>
    <row r="37" spans="1:7" s="185" customFormat="1" ht="33" thickTop="1" thickBot="1">
      <c r="A37" s="187">
        <v>44914</v>
      </c>
      <c r="B37" s="180" t="s">
        <v>311</v>
      </c>
      <c r="C37" s="180">
        <v>11771</v>
      </c>
      <c r="D37" s="186" t="s">
        <v>98</v>
      </c>
      <c r="E37" s="182" t="s">
        <v>99</v>
      </c>
      <c r="F37" s="183">
        <v>44923</v>
      </c>
      <c r="G37" s="184" t="s">
        <v>312</v>
      </c>
    </row>
    <row r="38" spans="1:7" s="185" customFormat="1" ht="33" thickTop="1" thickBot="1">
      <c r="A38" s="187">
        <v>44914</v>
      </c>
      <c r="B38" s="180" t="s">
        <v>313</v>
      </c>
      <c r="C38" s="180">
        <v>11772</v>
      </c>
      <c r="D38" s="186" t="s">
        <v>98</v>
      </c>
      <c r="E38" s="182" t="s">
        <v>99</v>
      </c>
      <c r="F38" s="183">
        <v>44922</v>
      </c>
      <c r="G38" s="184" t="s">
        <v>314</v>
      </c>
    </row>
    <row r="39" spans="1:7" s="185" customFormat="1" ht="48.75" thickTop="1" thickBot="1">
      <c r="A39" s="187">
        <v>44915</v>
      </c>
      <c r="B39" s="180" t="s">
        <v>315</v>
      </c>
      <c r="C39" s="180">
        <v>11773</v>
      </c>
      <c r="D39" s="180" t="s">
        <v>158</v>
      </c>
      <c r="E39" s="182" t="s">
        <v>99</v>
      </c>
      <c r="F39" s="183">
        <v>44923</v>
      </c>
      <c r="G39" s="184" t="s">
        <v>316</v>
      </c>
    </row>
    <row r="40" spans="1:7" s="185" customFormat="1" ht="17.25" thickTop="1" thickBot="1">
      <c r="A40" s="187">
        <v>44915</v>
      </c>
      <c r="B40" s="180" t="s">
        <v>127</v>
      </c>
      <c r="C40" s="180">
        <v>11774</v>
      </c>
      <c r="D40" s="180" t="s">
        <v>112</v>
      </c>
      <c r="E40" s="182" t="s">
        <v>99</v>
      </c>
      <c r="F40" s="183">
        <v>44937</v>
      </c>
      <c r="G40" s="184" t="s">
        <v>317</v>
      </c>
    </row>
    <row r="41" spans="1:7" s="185" customFormat="1" ht="33" thickTop="1" thickBot="1">
      <c r="A41" s="187">
        <v>44915</v>
      </c>
      <c r="B41" s="180" t="s">
        <v>318</v>
      </c>
      <c r="C41" s="180">
        <v>11775</v>
      </c>
      <c r="D41" s="186" t="s">
        <v>98</v>
      </c>
      <c r="E41" s="182" t="s">
        <v>99</v>
      </c>
      <c r="F41" s="183">
        <v>44917</v>
      </c>
      <c r="G41" s="184" t="s">
        <v>319</v>
      </c>
    </row>
    <row r="42" spans="1:7" s="185" customFormat="1" ht="17.25" thickTop="1" thickBot="1">
      <c r="A42" s="180" t="s">
        <v>320</v>
      </c>
      <c r="B42" s="180" t="s">
        <v>321</v>
      </c>
      <c r="C42" s="180">
        <v>11776</v>
      </c>
      <c r="D42" s="186" t="s">
        <v>109</v>
      </c>
      <c r="E42" s="182" t="s">
        <v>99</v>
      </c>
      <c r="F42" s="183">
        <v>44929</v>
      </c>
      <c r="G42" s="184" t="s">
        <v>322</v>
      </c>
    </row>
    <row r="43" spans="1:7" s="185" customFormat="1" ht="33" thickTop="1" thickBot="1">
      <c r="A43" s="187">
        <v>44917</v>
      </c>
      <c r="B43" s="180" t="s">
        <v>323</v>
      </c>
      <c r="C43" s="180">
        <v>11777</v>
      </c>
      <c r="D43" s="186" t="s">
        <v>98</v>
      </c>
      <c r="E43" s="182" t="s">
        <v>99</v>
      </c>
      <c r="F43" s="183">
        <v>44923</v>
      </c>
      <c r="G43" s="184" t="s">
        <v>324</v>
      </c>
    </row>
    <row r="44" spans="1:7" s="185" customFormat="1" ht="80.25" thickTop="1" thickBot="1">
      <c r="A44" s="187">
        <v>44917</v>
      </c>
      <c r="B44" s="180" t="s">
        <v>325</v>
      </c>
      <c r="C44" s="180">
        <v>11778</v>
      </c>
      <c r="D44" s="186" t="s">
        <v>109</v>
      </c>
      <c r="E44" s="182" t="s">
        <v>99</v>
      </c>
      <c r="F44" s="183">
        <v>44924</v>
      </c>
      <c r="G44" s="184" t="s">
        <v>326</v>
      </c>
    </row>
    <row r="45" spans="1:7" s="185" customFormat="1" ht="48.75" thickTop="1" thickBot="1">
      <c r="A45" s="187">
        <v>44908</v>
      </c>
      <c r="B45" s="180" t="s">
        <v>327</v>
      </c>
      <c r="C45" s="180">
        <v>11779</v>
      </c>
      <c r="D45" s="186" t="s">
        <v>109</v>
      </c>
      <c r="E45" s="182" t="s">
        <v>99</v>
      </c>
      <c r="F45" s="184" t="s">
        <v>328</v>
      </c>
      <c r="G45" s="184" t="s">
        <v>329</v>
      </c>
    </row>
    <row r="46" spans="1:7" s="185" customFormat="1" ht="64.5" thickTop="1" thickBot="1">
      <c r="A46" s="180" t="s">
        <v>330</v>
      </c>
      <c r="B46" s="180" t="s">
        <v>331</v>
      </c>
      <c r="C46" s="180">
        <v>11781</v>
      </c>
      <c r="D46" s="186" t="s">
        <v>98</v>
      </c>
      <c r="E46" s="182" t="s">
        <v>99</v>
      </c>
      <c r="F46" s="184" t="s">
        <v>328</v>
      </c>
      <c r="G46" s="184" t="s">
        <v>332</v>
      </c>
    </row>
    <row r="47" spans="1:7" s="185" customFormat="1" ht="33" thickTop="1" thickBot="1">
      <c r="A47" s="187">
        <v>44922</v>
      </c>
      <c r="B47" s="180" t="s">
        <v>291</v>
      </c>
      <c r="C47" s="180">
        <v>11782</v>
      </c>
      <c r="D47" s="186" t="s">
        <v>109</v>
      </c>
      <c r="E47" s="184" t="s">
        <v>333</v>
      </c>
      <c r="F47" s="184"/>
      <c r="G47" s="184"/>
    </row>
    <row r="48" spans="1:7" s="185" customFormat="1" ht="17.25" thickTop="1" thickBot="1">
      <c r="A48" s="187">
        <v>44922</v>
      </c>
      <c r="B48" s="180" t="s">
        <v>334</v>
      </c>
      <c r="C48" s="180">
        <v>11783</v>
      </c>
      <c r="D48" s="186" t="s">
        <v>109</v>
      </c>
      <c r="E48" s="182" t="s">
        <v>99</v>
      </c>
      <c r="F48" s="183">
        <v>44944</v>
      </c>
      <c r="G48" s="184" t="s">
        <v>335</v>
      </c>
    </row>
    <row r="49" spans="1:7" s="185" customFormat="1" ht="17.25" thickTop="1" thickBot="1">
      <c r="A49" s="187">
        <v>44922</v>
      </c>
      <c r="B49" s="180" t="s">
        <v>336</v>
      </c>
      <c r="C49" s="180">
        <v>11784</v>
      </c>
      <c r="D49" s="186" t="s">
        <v>109</v>
      </c>
      <c r="E49" s="182" t="s">
        <v>99</v>
      </c>
      <c r="F49" s="183">
        <v>44943</v>
      </c>
      <c r="G49" s="184" t="s">
        <v>337</v>
      </c>
    </row>
    <row r="50" spans="1:7" s="185" customFormat="1" ht="33" thickTop="1" thickBot="1">
      <c r="A50" s="187">
        <v>44922</v>
      </c>
      <c r="B50" s="180" t="s">
        <v>148</v>
      </c>
      <c r="C50" s="180">
        <v>11785</v>
      </c>
      <c r="D50" s="186" t="s">
        <v>98</v>
      </c>
      <c r="E50" s="184" t="s">
        <v>99</v>
      </c>
      <c r="F50" s="183">
        <v>44937</v>
      </c>
      <c r="G50" s="184" t="s">
        <v>338</v>
      </c>
    </row>
    <row r="51" spans="1:7" s="185" customFormat="1" ht="33" thickTop="1" thickBot="1">
      <c r="A51" s="180" t="s">
        <v>306</v>
      </c>
      <c r="B51" s="180" t="s">
        <v>339</v>
      </c>
      <c r="C51" s="180">
        <v>11786</v>
      </c>
      <c r="D51" s="186" t="s">
        <v>98</v>
      </c>
      <c r="E51" s="184" t="s">
        <v>99</v>
      </c>
      <c r="F51" s="183">
        <v>44939</v>
      </c>
      <c r="G51" s="184" t="s">
        <v>340</v>
      </c>
    </row>
    <row r="52" spans="1:7" ht="15.75" thickTop="1"/>
    <row r="54" spans="1:7">
      <c r="A54" s="77" t="s">
        <v>55</v>
      </c>
      <c r="B54" s="77" t="s">
        <v>60</v>
      </c>
    </row>
  </sheetData>
  <dataValidations count="2">
    <dataValidation type="list" allowBlank="1" showInputMessage="1" showErrorMessage="1" sqref="E47">
      <formula1>$F$139:$F$151</formula1>
    </dataValidation>
    <dataValidation type="list" allowBlank="1" showInputMessage="1" showErrorMessage="1" sqref="E3:E46 E48:E51">
      <formula1>$F$113:$F$125</formula1>
    </dataValidation>
  </dataValidation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1" sqref="B11"/>
    </sheetView>
  </sheetViews>
  <sheetFormatPr baseColWidth="10"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6"/>
  <sheetViews>
    <sheetView workbookViewId="0">
      <selection activeCell="E17" sqref="E17"/>
    </sheetView>
  </sheetViews>
  <sheetFormatPr baseColWidth="10" defaultRowHeight="15"/>
  <cols>
    <col min="2" max="2" width="17.42578125" customWidth="1"/>
    <col min="3" max="3" width="20.28515625" customWidth="1"/>
  </cols>
  <sheetData>
    <row r="1" spans="2:11" ht="15.75" thickBot="1"/>
    <row r="2" spans="2:11" ht="27" thickTop="1" thickBot="1"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</row>
    <row r="3" spans="2:11" ht="16.5" thickTop="1" thickBot="1">
      <c r="B3" s="7" t="s">
        <v>34</v>
      </c>
      <c r="C3" s="8" t="s">
        <v>35</v>
      </c>
      <c r="D3" s="17">
        <v>0</v>
      </c>
      <c r="E3" s="17">
        <v>0</v>
      </c>
      <c r="F3" s="17">
        <v>0</v>
      </c>
      <c r="G3" s="18">
        <v>0</v>
      </c>
      <c r="H3" s="18">
        <v>8</v>
      </c>
      <c r="I3" s="17">
        <v>0</v>
      </c>
      <c r="J3" s="19">
        <v>8</v>
      </c>
      <c r="K3" s="5">
        <v>0.36</v>
      </c>
    </row>
    <row r="4" spans="2:11" ht="37.5" thickTop="1" thickBot="1">
      <c r="B4" s="147" t="s">
        <v>10</v>
      </c>
      <c r="C4" s="13" t="s">
        <v>11</v>
      </c>
      <c r="D4" s="19">
        <v>2</v>
      </c>
      <c r="E4" s="17">
        <v>0</v>
      </c>
      <c r="F4" s="19">
        <v>1</v>
      </c>
      <c r="G4" s="19">
        <v>342</v>
      </c>
      <c r="H4" s="19">
        <v>1641</v>
      </c>
      <c r="I4" s="19">
        <v>0</v>
      </c>
      <c r="J4" s="19">
        <v>1986</v>
      </c>
      <c r="K4" s="5">
        <v>90.15</v>
      </c>
    </row>
    <row r="5" spans="2:11" ht="25.5" thickTop="1" thickBot="1">
      <c r="B5" s="148"/>
      <c r="C5" s="13" t="s">
        <v>12</v>
      </c>
      <c r="D5" s="19">
        <v>0</v>
      </c>
      <c r="E5" s="17">
        <v>0</v>
      </c>
      <c r="F5" s="17">
        <v>0</v>
      </c>
      <c r="G5" s="19">
        <v>34</v>
      </c>
      <c r="H5" s="19">
        <v>131</v>
      </c>
      <c r="I5" s="19">
        <v>0</v>
      </c>
      <c r="J5" s="19">
        <v>165</v>
      </c>
      <c r="K5" s="5">
        <v>7.49</v>
      </c>
    </row>
    <row r="6" spans="2:11" ht="37.5" thickTop="1" thickBot="1">
      <c r="B6" s="12" t="s">
        <v>13</v>
      </c>
      <c r="C6" s="13" t="s">
        <v>14</v>
      </c>
      <c r="D6" s="18">
        <v>7</v>
      </c>
      <c r="E6" s="17">
        <v>0</v>
      </c>
      <c r="F6" s="17">
        <v>0</v>
      </c>
      <c r="G6" s="17">
        <v>0</v>
      </c>
      <c r="H6" s="18">
        <v>0</v>
      </c>
      <c r="I6" s="18">
        <v>2</v>
      </c>
      <c r="J6" s="19">
        <v>9</v>
      </c>
      <c r="K6" s="5">
        <v>0.41</v>
      </c>
    </row>
    <row r="7" spans="2:11" ht="16.5" thickTop="1" thickBot="1">
      <c r="B7" s="147" t="s">
        <v>15</v>
      </c>
      <c r="C7" s="13" t="s">
        <v>43</v>
      </c>
      <c r="D7" s="18">
        <v>1</v>
      </c>
      <c r="E7" s="17">
        <v>0</v>
      </c>
      <c r="F7" s="17">
        <v>0</v>
      </c>
      <c r="G7" s="17">
        <v>0</v>
      </c>
      <c r="H7" s="18">
        <v>0</v>
      </c>
      <c r="I7" s="18">
        <v>0</v>
      </c>
      <c r="J7" s="19">
        <v>1</v>
      </c>
      <c r="K7" s="5">
        <v>0.05</v>
      </c>
    </row>
    <row r="8" spans="2:11" ht="49.5" thickTop="1" thickBot="1">
      <c r="B8" s="149"/>
      <c r="C8" s="13" t="s">
        <v>16</v>
      </c>
      <c r="D8" s="18">
        <v>2</v>
      </c>
      <c r="E8" s="17">
        <v>0</v>
      </c>
      <c r="F8" s="17">
        <v>0</v>
      </c>
      <c r="G8" s="17">
        <v>0</v>
      </c>
      <c r="H8" s="17">
        <v>4</v>
      </c>
      <c r="I8" s="17">
        <v>0</v>
      </c>
      <c r="J8" s="19">
        <v>6</v>
      </c>
      <c r="K8" s="5">
        <v>0.27</v>
      </c>
    </row>
    <row r="9" spans="2:11" ht="25.5" thickTop="1" thickBot="1">
      <c r="B9" s="12" t="s">
        <v>17</v>
      </c>
      <c r="C9" s="13" t="s">
        <v>18</v>
      </c>
      <c r="D9" s="18">
        <v>1</v>
      </c>
      <c r="E9" s="17">
        <v>0</v>
      </c>
      <c r="F9" s="17">
        <v>0</v>
      </c>
      <c r="G9" s="17">
        <v>0</v>
      </c>
      <c r="H9" s="17">
        <v>0</v>
      </c>
      <c r="I9" s="17">
        <v>0</v>
      </c>
      <c r="J9" s="19">
        <v>1</v>
      </c>
      <c r="K9" s="5">
        <v>0.05</v>
      </c>
    </row>
    <row r="10" spans="2:11" ht="16.5" thickTop="1" thickBot="1">
      <c r="B10" s="147" t="s">
        <v>19</v>
      </c>
      <c r="C10" s="13" t="s">
        <v>44</v>
      </c>
      <c r="D10" s="18">
        <v>1</v>
      </c>
      <c r="E10" s="17">
        <v>0</v>
      </c>
      <c r="F10" s="18">
        <v>1</v>
      </c>
      <c r="G10" s="17">
        <v>0</v>
      </c>
      <c r="H10" s="17">
        <v>0</v>
      </c>
      <c r="I10" s="17">
        <v>0</v>
      </c>
      <c r="J10" s="19">
        <v>2</v>
      </c>
      <c r="K10" s="5">
        <v>0.09</v>
      </c>
    </row>
    <row r="11" spans="2:11" ht="16.5" thickTop="1" thickBot="1">
      <c r="B11" s="150"/>
      <c r="C11" s="13" t="s">
        <v>20</v>
      </c>
      <c r="D11" s="18">
        <v>13</v>
      </c>
      <c r="E11" s="18">
        <v>1</v>
      </c>
      <c r="F11" s="18">
        <v>0</v>
      </c>
      <c r="G11" s="17">
        <v>0</v>
      </c>
      <c r="H11" s="17">
        <v>0</v>
      </c>
      <c r="I11" s="17">
        <v>0</v>
      </c>
      <c r="J11" s="19">
        <v>14</v>
      </c>
      <c r="K11" s="5">
        <v>0.64</v>
      </c>
    </row>
    <row r="12" spans="2:11" ht="16.5" thickTop="1" thickBot="1">
      <c r="B12" s="149"/>
      <c r="C12" s="13" t="s">
        <v>21</v>
      </c>
      <c r="D12" s="18">
        <v>4</v>
      </c>
      <c r="E12" s="18">
        <v>0</v>
      </c>
      <c r="F12" s="18">
        <v>0</v>
      </c>
      <c r="G12" s="17">
        <v>0</v>
      </c>
      <c r="H12" s="17">
        <v>0</v>
      </c>
      <c r="I12" s="17">
        <v>0</v>
      </c>
      <c r="J12" s="19">
        <v>4</v>
      </c>
      <c r="K12" s="5">
        <v>0.18</v>
      </c>
    </row>
    <row r="13" spans="2:11" ht="16.5" thickTop="1" thickBot="1">
      <c r="B13" s="7" t="s">
        <v>22</v>
      </c>
      <c r="C13" s="13" t="s">
        <v>23</v>
      </c>
      <c r="D13" s="18">
        <v>1</v>
      </c>
      <c r="E13" s="18">
        <v>0</v>
      </c>
      <c r="F13" s="18">
        <v>0</v>
      </c>
      <c r="G13" s="17">
        <v>0</v>
      </c>
      <c r="H13" s="17">
        <v>0</v>
      </c>
      <c r="I13" s="17">
        <v>0</v>
      </c>
      <c r="J13" s="19">
        <v>1</v>
      </c>
      <c r="K13" s="5">
        <v>0.05</v>
      </c>
    </row>
    <row r="14" spans="2:11" ht="37.5" thickTop="1" thickBot="1">
      <c r="B14" s="7" t="s">
        <v>26</v>
      </c>
      <c r="C14" s="13" t="s">
        <v>28</v>
      </c>
      <c r="D14" s="19">
        <v>5</v>
      </c>
      <c r="E14" s="18">
        <v>1</v>
      </c>
      <c r="F14" s="18">
        <v>0</v>
      </c>
      <c r="G14" s="17">
        <v>0</v>
      </c>
      <c r="H14" s="17">
        <v>0</v>
      </c>
      <c r="I14" s="17">
        <v>0</v>
      </c>
      <c r="J14" s="18">
        <v>6</v>
      </c>
      <c r="K14" s="5">
        <v>0.27</v>
      </c>
    </row>
    <row r="15" spans="2:11" ht="16.5" thickTop="1" thickBot="1">
      <c r="B15" s="145" t="s">
        <v>38</v>
      </c>
      <c r="C15" s="146"/>
      <c r="D15" s="5">
        <v>37</v>
      </c>
      <c r="E15" s="5">
        <v>2</v>
      </c>
      <c r="F15" s="5">
        <v>2</v>
      </c>
      <c r="G15" s="5">
        <v>376</v>
      </c>
      <c r="H15" s="5">
        <v>1784</v>
      </c>
      <c r="I15" s="5">
        <v>2</v>
      </c>
      <c r="J15" s="5">
        <v>2203</v>
      </c>
      <c r="K15" s="5">
        <v>100</v>
      </c>
    </row>
    <row r="16" spans="2:11" ht="15.75" thickTop="1"/>
  </sheetData>
  <mergeCells count="4">
    <mergeCell ref="B4:B5"/>
    <mergeCell ref="B7:B8"/>
    <mergeCell ref="B10:B12"/>
    <mergeCell ref="B15:C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19"/>
  <sheetViews>
    <sheetView workbookViewId="0">
      <selection activeCell="E21" sqref="E21"/>
    </sheetView>
  </sheetViews>
  <sheetFormatPr baseColWidth="10" defaultRowHeight="15"/>
  <cols>
    <col min="1" max="1" width="15.28515625" customWidth="1"/>
    <col min="2" max="2" width="22.42578125" customWidth="1"/>
    <col min="7" max="7" width="14.28515625" customWidth="1"/>
    <col min="10" max="10" width="7.7109375" customWidth="1"/>
  </cols>
  <sheetData>
    <row r="3" spans="1:10" ht="15.75" thickBot="1"/>
    <row r="4" spans="1:10" ht="27" thickTop="1" thickBot="1">
      <c r="A4" s="20" t="s">
        <v>0</v>
      </c>
      <c r="B4" s="20" t="s">
        <v>1</v>
      </c>
      <c r="C4" s="20" t="s">
        <v>2</v>
      </c>
      <c r="D4" s="20" t="s">
        <v>3</v>
      </c>
      <c r="E4" s="20" t="s">
        <v>4</v>
      </c>
      <c r="F4" s="20" t="s">
        <v>5</v>
      </c>
      <c r="G4" s="20" t="s">
        <v>6</v>
      </c>
      <c r="H4" s="20" t="s">
        <v>7</v>
      </c>
      <c r="I4" s="20" t="s">
        <v>8</v>
      </c>
      <c r="J4" s="20" t="s">
        <v>9</v>
      </c>
    </row>
    <row r="5" spans="1:10" ht="37.5" thickTop="1" thickBot="1">
      <c r="A5" s="156" t="s">
        <v>10</v>
      </c>
      <c r="B5" s="21" t="s">
        <v>11</v>
      </c>
      <c r="C5" s="27">
        <v>0</v>
      </c>
      <c r="D5" s="22">
        <v>0</v>
      </c>
      <c r="E5" s="22">
        <v>0</v>
      </c>
      <c r="F5" s="22">
        <v>353</v>
      </c>
      <c r="G5" s="22">
        <v>1841</v>
      </c>
      <c r="H5" s="22">
        <v>0</v>
      </c>
      <c r="I5" s="22">
        <f t="shared" ref="I5:I17" si="0">SUM(C5:H5)</f>
        <v>2194</v>
      </c>
      <c r="J5" s="28">
        <f t="shared" ref="J5:J17" si="1">I5/2418*100</f>
        <v>90.736145574855257</v>
      </c>
    </row>
    <row r="6" spans="1:10" ht="25.5" thickTop="1" thickBot="1">
      <c r="A6" s="156"/>
      <c r="B6" s="21" t="s">
        <v>12</v>
      </c>
      <c r="C6" s="27">
        <v>0</v>
      </c>
      <c r="D6" s="22">
        <v>1</v>
      </c>
      <c r="E6" s="22">
        <v>0</v>
      </c>
      <c r="F6" s="22">
        <v>36</v>
      </c>
      <c r="G6" s="22">
        <v>138</v>
      </c>
      <c r="H6" s="22">
        <v>0</v>
      </c>
      <c r="I6" s="22">
        <f t="shared" si="0"/>
        <v>175</v>
      </c>
      <c r="J6" s="28">
        <f t="shared" si="1"/>
        <v>7.2373862696443343</v>
      </c>
    </row>
    <row r="7" spans="1:10" ht="37.5" thickTop="1" thickBot="1">
      <c r="A7" s="23" t="s">
        <v>13</v>
      </c>
      <c r="B7" s="21" t="s">
        <v>14</v>
      </c>
      <c r="C7" s="29">
        <f>2+6</f>
        <v>8</v>
      </c>
      <c r="D7" s="25">
        <v>1</v>
      </c>
      <c r="E7" s="25">
        <v>0</v>
      </c>
      <c r="F7" s="25">
        <v>0</v>
      </c>
      <c r="G7" s="25">
        <v>0</v>
      </c>
      <c r="H7" s="22">
        <v>0</v>
      </c>
      <c r="I7" s="25">
        <f t="shared" si="0"/>
        <v>9</v>
      </c>
      <c r="J7" s="28">
        <f t="shared" si="1"/>
        <v>0.37220843672456577</v>
      </c>
    </row>
    <row r="8" spans="1:10" ht="25.5" thickTop="1" thickBot="1">
      <c r="A8" s="156" t="s">
        <v>15</v>
      </c>
      <c r="B8" s="21" t="s">
        <v>39</v>
      </c>
      <c r="C8" s="29">
        <v>1</v>
      </c>
      <c r="D8" s="25">
        <v>0</v>
      </c>
      <c r="E8" s="25">
        <v>0</v>
      </c>
      <c r="F8" s="25">
        <v>0</v>
      </c>
      <c r="G8" s="25">
        <v>0</v>
      </c>
      <c r="H8" s="22">
        <v>0</v>
      </c>
      <c r="I8" s="25">
        <f t="shared" si="0"/>
        <v>1</v>
      </c>
      <c r="J8" s="28">
        <f t="shared" si="1"/>
        <v>4.1356492969396197E-2</v>
      </c>
    </row>
    <row r="9" spans="1:10" ht="65.25" thickTop="1" thickBot="1">
      <c r="A9" s="156"/>
      <c r="B9" s="26" t="s">
        <v>16</v>
      </c>
      <c r="C9" s="29">
        <v>5</v>
      </c>
      <c r="D9" s="25">
        <v>0</v>
      </c>
      <c r="E9" s="22">
        <v>1</v>
      </c>
      <c r="F9" s="25">
        <v>0</v>
      </c>
      <c r="G9" s="25">
        <v>0</v>
      </c>
      <c r="H9" s="22">
        <v>0</v>
      </c>
      <c r="I9" s="22">
        <f t="shared" si="0"/>
        <v>6</v>
      </c>
      <c r="J9" s="28">
        <f t="shared" si="1"/>
        <v>0.24813895781637718</v>
      </c>
    </row>
    <row r="10" spans="1:10" ht="25.5" thickTop="1" thickBot="1">
      <c r="A10" s="21" t="s">
        <v>17</v>
      </c>
      <c r="B10" s="21" t="s">
        <v>18</v>
      </c>
      <c r="C10" s="27">
        <v>2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2">
        <f t="shared" si="0"/>
        <v>2</v>
      </c>
      <c r="J10" s="28">
        <f t="shared" si="1"/>
        <v>8.2712985938792394E-2</v>
      </c>
    </row>
    <row r="11" spans="1:10" ht="16.5" thickTop="1" thickBot="1">
      <c r="A11" s="156" t="s">
        <v>19</v>
      </c>
      <c r="B11" s="21" t="s">
        <v>20</v>
      </c>
      <c r="C11" s="29">
        <v>8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2">
        <f t="shared" si="0"/>
        <v>8</v>
      </c>
      <c r="J11" s="28">
        <f t="shared" si="1"/>
        <v>0.33085194375516958</v>
      </c>
    </row>
    <row r="12" spans="1:10" ht="16.5" thickTop="1" thickBot="1">
      <c r="A12" s="156"/>
      <c r="B12" s="21" t="s">
        <v>21</v>
      </c>
      <c r="C12" s="29">
        <f>3+1+2</f>
        <v>6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2">
        <f t="shared" si="0"/>
        <v>6</v>
      </c>
      <c r="J12" s="28">
        <f t="shared" si="1"/>
        <v>0.24813895781637718</v>
      </c>
    </row>
    <row r="13" spans="1:10" ht="16.5" thickTop="1" thickBot="1">
      <c r="A13" s="156"/>
      <c r="B13" s="21" t="s">
        <v>45</v>
      </c>
      <c r="C13" s="29">
        <v>3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2">
        <f t="shared" si="0"/>
        <v>3</v>
      </c>
      <c r="J13" s="28">
        <f t="shared" si="1"/>
        <v>0.12406947890818859</v>
      </c>
    </row>
    <row r="14" spans="1:10" ht="16.5" thickTop="1" thickBot="1">
      <c r="A14" s="156"/>
      <c r="B14" s="21" t="s">
        <v>46</v>
      </c>
      <c r="C14" s="29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2">
        <f t="shared" si="0"/>
        <v>1</v>
      </c>
      <c r="J14" s="28">
        <f t="shared" si="1"/>
        <v>4.1356492969396197E-2</v>
      </c>
    </row>
    <row r="15" spans="1:10" ht="16.5" thickTop="1" thickBot="1">
      <c r="A15" s="24" t="s">
        <v>22</v>
      </c>
      <c r="B15" s="21" t="s">
        <v>23</v>
      </c>
      <c r="C15" s="29">
        <v>1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2">
        <f t="shared" si="0"/>
        <v>1</v>
      </c>
      <c r="J15" s="28">
        <f t="shared" si="1"/>
        <v>4.1356492969396197E-2</v>
      </c>
    </row>
    <row r="16" spans="1:10" ht="49.5" thickTop="1" thickBot="1">
      <c r="A16" s="24" t="s">
        <v>26</v>
      </c>
      <c r="B16" s="21" t="s">
        <v>28</v>
      </c>
      <c r="C16" s="27">
        <v>10</v>
      </c>
      <c r="D16" s="25">
        <v>1</v>
      </c>
      <c r="E16" s="25">
        <v>0</v>
      </c>
      <c r="F16" s="25">
        <v>0</v>
      </c>
      <c r="G16" s="25">
        <v>0</v>
      </c>
      <c r="H16" s="25">
        <v>0</v>
      </c>
      <c r="I16" s="22">
        <f t="shared" si="0"/>
        <v>11</v>
      </c>
      <c r="J16" s="28">
        <f t="shared" si="1"/>
        <v>0.45492142266335817</v>
      </c>
    </row>
    <row r="17" spans="1:10" ht="25.5" thickTop="1" thickBot="1">
      <c r="A17" s="21" t="s">
        <v>29</v>
      </c>
      <c r="B17" s="21" t="s">
        <v>30</v>
      </c>
      <c r="C17" s="27">
        <v>1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f t="shared" si="0"/>
        <v>1</v>
      </c>
      <c r="J17" s="28">
        <f t="shared" si="1"/>
        <v>4.1356492969396197E-2</v>
      </c>
    </row>
    <row r="18" spans="1:10" ht="16.5" thickTop="1" thickBot="1">
      <c r="A18" s="157" t="s">
        <v>38</v>
      </c>
      <c r="B18" s="157"/>
      <c r="C18" s="25">
        <f t="shared" ref="C18:H18" si="2">SUM(C5:C17)</f>
        <v>46</v>
      </c>
      <c r="D18" s="25">
        <f t="shared" si="2"/>
        <v>3</v>
      </c>
      <c r="E18" s="25">
        <f t="shared" si="2"/>
        <v>1</v>
      </c>
      <c r="F18" s="25">
        <f t="shared" si="2"/>
        <v>389</v>
      </c>
      <c r="G18" s="25">
        <f t="shared" si="2"/>
        <v>1979</v>
      </c>
      <c r="H18" s="25">
        <f t="shared" si="2"/>
        <v>0</v>
      </c>
      <c r="I18" s="25">
        <f>SUM(C5:H17)</f>
        <v>2418</v>
      </c>
      <c r="J18" s="30">
        <f>I18/2418*100</f>
        <v>100</v>
      </c>
    </row>
    <row r="19" spans="1:10" ht="15.75" thickTop="1"/>
  </sheetData>
  <mergeCells count="4">
    <mergeCell ref="A5:A6"/>
    <mergeCell ref="A8:A9"/>
    <mergeCell ref="A11:A14"/>
    <mergeCell ref="A18:B1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C23" sqref="C23"/>
    </sheetView>
  </sheetViews>
  <sheetFormatPr baseColWidth="10" defaultRowHeight="15"/>
  <cols>
    <col min="1" max="1" width="13.42578125" customWidth="1"/>
    <col min="2" max="2" width="16.42578125" customWidth="1"/>
    <col min="7" max="7" width="13" customWidth="1"/>
    <col min="8" max="8" width="10.140625" customWidth="1"/>
    <col min="9" max="9" width="10.42578125" customWidth="1"/>
    <col min="10" max="10" width="6.7109375" customWidth="1"/>
  </cols>
  <sheetData>
    <row r="2" spans="1:10" ht="15.75" thickBot="1"/>
    <row r="3" spans="1:10" ht="27" thickTop="1" thickBo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>
      <c r="A4" s="158" t="s">
        <v>10</v>
      </c>
      <c r="B4" s="33" t="s">
        <v>11</v>
      </c>
      <c r="C4" s="34">
        <v>1</v>
      </c>
      <c r="D4" s="35">
        <v>0</v>
      </c>
      <c r="E4" s="35">
        <v>0</v>
      </c>
      <c r="F4" s="35">
        <v>324</v>
      </c>
      <c r="G4" s="35">
        <v>1682</v>
      </c>
      <c r="H4" s="35">
        <v>0</v>
      </c>
      <c r="I4" s="36">
        <f t="shared" ref="I4:I16" si="0">SUM(C4:H4)</f>
        <v>2007</v>
      </c>
      <c r="J4" s="37">
        <f t="shared" ref="J4:J16" si="1">I4/2257*100</f>
        <v>88.923349579087287</v>
      </c>
    </row>
    <row r="5" spans="1:10" ht="25.5" thickTop="1" thickBot="1">
      <c r="A5" s="158"/>
      <c r="B5" s="33" t="s">
        <v>12</v>
      </c>
      <c r="C5" s="34">
        <v>0</v>
      </c>
      <c r="D5" s="35">
        <v>0</v>
      </c>
      <c r="E5" s="35">
        <v>0</v>
      </c>
      <c r="F5" s="35">
        <v>26</v>
      </c>
      <c r="G5" s="35">
        <v>163</v>
      </c>
      <c r="H5" s="35">
        <v>0</v>
      </c>
      <c r="I5" s="36">
        <f t="shared" si="0"/>
        <v>189</v>
      </c>
      <c r="J5" s="37">
        <f t="shared" si="1"/>
        <v>8.3739477182100135</v>
      </c>
    </row>
    <row r="6" spans="1:10" ht="25.5" thickTop="1" thickBot="1">
      <c r="A6" s="159" t="s">
        <v>13</v>
      </c>
      <c r="B6" s="33" t="s">
        <v>14</v>
      </c>
      <c r="C6" s="34">
        <f>1+7</f>
        <v>8</v>
      </c>
      <c r="D6" s="35">
        <v>0</v>
      </c>
      <c r="E6" s="38">
        <v>0</v>
      </c>
      <c r="F6" s="38">
        <v>0</v>
      </c>
      <c r="G6" s="38">
        <v>0</v>
      </c>
      <c r="H6" s="38">
        <v>0</v>
      </c>
      <c r="I6" s="39">
        <f t="shared" si="0"/>
        <v>8</v>
      </c>
      <c r="J6" s="37">
        <f t="shared" si="1"/>
        <v>0.35445281346920693</v>
      </c>
    </row>
    <row r="7" spans="1:10" ht="25.5" thickTop="1" thickBot="1">
      <c r="A7" s="160"/>
      <c r="B7" s="33" t="s">
        <v>36</v>
      </c>
      <c r="C7" s="40">
        <f>1+4</f>
        <v>5</v>
      </c>
      <c r="D7" s="35">
        <v>0</v>
      </c>
      <c r="E7" s="38">
        <v>1</v>
      </c>
      <c r="F7" s="38">
        <v>0</v>
      </c>
      <c r="G7" s="38">
        <v>0</v>
      </c>
      <c r="H7" s="38">
        <v>0</v>
      </c>
      <c r="I7" s="39">
        <f t="shared" si="0"/>
        <v>6</v>
      </c>
      <c r="J7" s="37">
        <f t="shared" si="1"/>
        <v>0.26583961010190521</v>
      </c>
    </row>
    <row r="8" spans="1:10" ht="61.5" thickTop="1" thickBot="1">
      <c r="A8" s="41" t="s">
        <v>15</v>
      </c>
      <c r="B8" s="42" t="s">
        <v>16</v>
      </c>
      <c r="C8" s="40">
        <v>5</v>
      </c>
      <c r="D8" s="38">
        <v>1</v>
      </c>
      <c r="E8" s="35">
        <v>2</v>
      </c>
      <c r="F8" s="38">
        <v>0</v>
      </c>
      <c r="G8" s="38">
        <v>0</v>
      </c>
      <c r="H8" s="38">
        <v>0</v>
      </c>
      <c r="I8" s="36">
        <f t="shared" si="0"/>
        <v>8</v>
      </c>
      <c r="J8" s="37">
        <f t="shared" si="1"/>
        <v>0.35445281346920693</v>
      </c>
    </row>
    <row r="9" spans="1:10" ht="25.5" thickTop="1" thickBot="1">
      <c r="A9" s="33" t="s">
        <v>17</v>
      </c>
      <c r="B9" s="43" t="s">
        <v>35</v>
      </c>
      <c r="C9" s="40">
        <v>5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6">
        <f t="shared" si="0"/>
        <v>5</v>
      </c>
      <c r="J9" s="37">
        <f t="shared" si="1"/>
        <v>0.2215330084182543</v>
      </c>
    </row>
    <row r="10" spans="1:10" ht="16.5" thickTop="1" thickBot="1">
      <c r="A10" s="159" t="s">
        <v>19</v>
      </c>
      <c r="B10" s="43" t="s">
        <v>20</v>
      </c>
      <c r="C10" s="40">
        <v>7</v>
      </c>
      <c r="D10" s="38">
        <v>1</v>
      </c>
      <c r="E10" s="38">
        <v>0</v>
      </c>
      <c r="F10" s="38">
        <v>0</v>
      </c>
      <c r="G10" s="38">
        <v>0</v>
      </c>
      <c r="H10" s="38">
        <v>0</v>
      </c>
      <c r="I10" s="36">
        <f t="shared" si="0"/>
        <v>8</v>
      </c>
      <c r="J10" s="37">
        <f t="shared" si="1"/>
        <v>0.35445281346920693</v>
      </c>
    </row>
    <row r="11" spans="1:10" ht="16.5" thickTop="1" thickBot="1">
      <c r="A11" s="160"/>
      <c r="B11" s="43" t="s">
        <v>21</v>
      </c>
      <c r="C11" s="40">
        <v>2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6">
        <f t="shared" si="0"/>
        <v>2</v>
      </c>
      <c r="J11" s="37">
        <f t="shared" si="1"/>
        <v>8.8613203367301732E-2</v>
      </c>
    </row>
    <row r="12" spans="1:10" ht="25.5" thickTop="1" thickBot="1">
      <c r="A12" s="44" t="s">
        <v>22</v>
      </c>
      <c r="B12" s="43" t="s">
        <v>23</v>
      </c>
      <c r="C12" s="40">
        <v>1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6">
        <f t="shared" si="0"/>
        <v>1</v>
      </c>
      <c r="J12" s="37">
        <f t="shared" si="1"/>
        <v>4.4306601683650866E-2</v>
      </c>
    </row>
    <row r="13" spans="1:10" ht="37.5" thickTop="1" thickBot="1">
      <c r="A13" s="43" t="s">
        <v>24</v>
      </c>
      <c r="B13" s="43" t="s">
        <v>25</v>
      </c>
      <c r="C13" s="40">
        <v>1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6">
        <f t="shared" si="0"/>
        <v>1</v>
      </c>
      <c r="J13" s="37">
        <f t="shared" si="1"/>
        <v>4.4306601683650866E-2</v>
      </c>
    </row>
    <row r="14" spans="1:10" ht="25.5" thickTop="1" thickBot="1">
      <c r="A14" s="159" t="s">
        <v>26</v>
      </c>
      <c r="B14" s="43" t="s">
        <v>27</v>
      </c>
      <c r="C14" s="40">
        <v>1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6">
        <f t="shared" si="0"/>
        <v>1</v>
      </c>
      <c r="J14" s="37">
        <f t="shared" si="1"/>
        <v>4.4306601683650866E-2</v>
      </c>
    </row>
    <row r="15" spans="1:10" ht="24.75" customHeight="1" thickTop="1" thickBot="1">
      <c r="A15" s="160"/>
      <c r="B15" s="33" t="s">
        <v>28</v>
      </c>
      <c r="C15" s="34">
        <f>12+1+3+1</f>
        <v>17</v>
      </c>
      <c r="D15" s="38">
        <v>0</v>
      </c>
      <c r="E15" s="38">
        <v>0</v>
      </c>
      <c r="F15" s="38">
        <v>1</v>
      </c>
      <c r="G15" s="38">
        <v>0</v>
      </c>
      <c r="H15" s="38">
        <v>0</v>
      </c>
      <c r="I15" s="36">
        <f t="shared" si="0"/>
        <v>18</v>
      </c>
      <c r="J15" s="37">
        <f t="shared" si="1"/>
        <v>0.79751883030571546</v>
      </c>
    </row>
    <row r="16" spans="1:10" ht="37.5" thickTop="1" thickBot="1">
      <c r="A16" s="44" t="s">
        <v>31</v>
      </c>
      <c r="B16" s="33" t="s">
        <v>47</v>
      </c>
      <c r="C16" s="40">
        <v>1</v>
      </c>
      <c r="D16" s="38">
        <v>2</v>
      </c>
      <c r="E16" s="38">
        <v>0</v>
      </c>
      <c r="F16" s="38">
        <v>0</v>
      </c>
      <c r="G16" s="38">
        <v>0</v>
      </c>
      <c r="H16" s="38">
        <v>0</v>
      </c>
      <c r="I16" s="36">
        <f t="shared" si="0"/>
        <v>3</v>
      </c>
      <c r="J16" s="37">
        <f t="shared" si="1"/>
        <v>0.13291980505095261</v>
      </c>
    </row>
    <row r="17" spans="1:10" ht="16.5" thickTop="1" thickBot="1">
      <c r="A17" s="161" t="s">
        <v>38</v>
      </c>
      <c r="B17" s="161"/>
      <c r="C17" s="45">
        <f t="shared" ref="C17:H17" si="2">SUM(C4:C16)</f>
        <v>54</v>
      </c>
      <c r="D17" s="45">
        <f t="shared" si="2"/>
        <v>4</v>
      </c>
      <c r="E17" s="45">
        <f t="shared" si="2"/>
        <v>3</v>
      </c>
      <c r="F17" s="45">
        <f t="shared" si="2"/>
        <v>351</v>
      </c>
      <c r="G17" s="45">
        <f t="shared" si="2"/>
        <v>1845</v>
      </c>
      <c r="H17" s="45">
        <f t="shared" si="2"/>
        <v>0</v>
      </c>
      <c r="I17" s="45">
        <f>SUM(C4:H16)</f>
        <v>2257</v>
      </c>
      <c r="J17" s="46">
        <f>I17/2257*100</f>
        <v>100</v>
      </c>
    </row>
    <row r="18" spans="1:10" ht="15.75" thickTop="1"/>
  </sheetData>
  <mergeCells count="5">
    <mergeCell ref="A4:A5"/>
    <mergeCell ref="A6:A7"/>
    <mergeCell ref="A10:A11"/>
    <mergeCell ref="A14:A15"/>
    <mergeCell ref="A17:B1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D21" sqref="D21"/>
    </sheetView>
  </sheetViews>
  <sheetFormatPr baseColWidth="10" defaultRowHeight="15"/>
  <cols>
    <col min="1" max="1" width="39.28515625" customWidth="1"/>
    <col min="2" max="2" width="17.42578125" customWidth="1"/>
    <col min="7" max="7" width="14" customWidth="1"/>
    <col min="10" max="10" width="7.42578125" customWidth="1"/>
  </cols>
  <sheetData>
    <row r="2" spans="1:10" ht="15.75" thickBot="1"/>
    <row r="3" spans="1:10" ht="27" thickTop="1" thickBot="1">
      <c r="A3" s="20" t="s">
        <v>0</v>
      </c>
      <c r="B3" s="20" t="s">
        <v>1</v>
      </c>
      <c r="C3" s="20" t="s">
        <v>2</v>
      </c>
      <c r="D3" s="20" t="s">
        <v>3</v>
      </c>
      <c r="E3" s="20" t="s">
        <v>4</v>
      </c>
      <c r="F3" s="20" t="s">
        <v>5</v>
      </c>
      <c r="G3" s="20" t="s">
        <v>6</v>
      </c>
      <c r="H3" s="20" t="s">
        <v>7</v>
      </c>
      <c r="I3" s="20" t="s">
        <v>8</v>
      </c>
      <c r="J3" s="20" t="s">
        <v>9</v>
      </c>
    </row>
    <row r="4" spans="1:10" ht="16.5" thickTop="1" thickBot="1">
      <c r="A4" s="162" t="s">
        <v>10</v>
      </c>
      <c r="B4" s="20" t="s">
        <v>35</v>
      </c>
      <c r="C4" s="49">
        <v>0</v>
      </c>
      <c r="D4" s="50">
        <v>0</v>
      </c>
      <c r="E4" s="49">
        <v>0</v>
      </c>
      <c r="F4" s="51">
        <v>0</v>
      </c>
      <c r="G4" s="51">
        <v>0</v>
      </c>
      <c r="H4" s="49">
        <v>1</v>
      </c>
      <c r="I4" s="22">
        <f>SUM(C4:H4)</f>
        <v>1</v>
      </c>
      <c r="J4" s="52">
        <f t="shared" ref="J4:J16" si="0">I4/2300*100</f>
        <v>4.3478260869565216E-2</v>
      </c>
    </row>
    <row r="5" spans="1:10" ht="37.5" thickTop="1" thickBot="1">
      <c r="A5" s="163"/>
      <c r="B5" s="31" t="s">
        <v>11</v>
      </c>
      <c r="C5" s="53">
        <v>1</v>
      </c>
      <c r="D5" s="50">
        <v>0</v>
      </c>
      <c r="E5" s="54">
        <v>0</v>
      </c>
      <c r="F5" s="54">
        <v>285</v>
      </c>
      <c r="G5" s="54">
        <v>1763</v>
      </c>
      <c r="H5" s="50">
        <v>0</v>
      </c>
      <c r="I5" s="50">
        <f>SUM(C5:H5)</f>
        <v>2049</v>
      </c>
      <c r="J5" s="52">
        <f t="shared" si="0"/>
        <v>89.08695652173914</v>
      </c>
    </row>
    <row r="6" spans="1:10" ht="25.5" thickTop="1" thickBot="1">
      <c r="A6" s="164"/>
      <c r="B6" s="31" t="s">
        <v>12</v>
      </c>
      <c r="C6" s="53">
        <v>0</v>
      </c>
      <c r="D6" s="50">
        <v>0</v>
      </c>
      <c r="E6" s="54">
        <v>0</v>
      </c>
      <c r="F6" s="54">
        <v>19</v>
      </c>
      <c r="G6" s="54">
        <v>193</v>
      </c>
      <c r="H6" s="50">
        <v>0</v>
      </c>
      <c r="I6" s="50">
        <f>SUM(C6:H6)</f>
        <v>212</v>
      </c>
      <c r="J6" s="52">
        <f t="shared" si="0"/>
        <v>9.2173913043478262</v>
      </c>
    </row>
    <row r="7" spans="1:10" ht="25.5" thickTop="1" thickBot="1">
      <c r="A7" s="24" t="s">
        <v>13</v>
      </c>
      <c r="B7" s="31" t="s">
        <v>14</v>
      </c>
      <c r="C7" s="55">
        <f>1+1+1+1+1+7</f>
        <v>12</v>
      </c>
      <c r="D7" s="50">
        <v>0</v>
      </c>
      <c r="E7" s="51">
        <v>1</v>
      </c>
      <c r="F7" s="50">
        <v>0</v>
      </c>
      <c r="G7" s="50">
        <v>0</v>
      </c>
      <c r="H7" s="50">
        <v>0</v>
      </c>
      <c r="I7" s="56">
        <f t="shared" ref="I7" si="1">SUM(C7:H7)</f>
        <v>13</v>
      </c>
      <c r="J7" s="52">
        <f t="shared" si="0"/>
        <v>0.56521739130434789</v>
      </c>
    </row>
    <row r="8" spans="1:10" ht="61.5" thickTop="1" thickBot="1">
      <c r="A8" s="31" t="s">
        <v>15</v>
      </c>
      <c r="B8" s="57" t="s">
        <v>16</v>
      </c>
      <c r="C8" s="55">
        <v>2</v>
      </c>
      <c r="D8" s="50">
        <v>0</v>
      </c>
      <c r="E8" s="54">
        <v>2</v>
      </c>
      <c r="F8" s="50">
        <v>0</v>
      </c>
      <c r="G8" s="50">
        <v>0</v>
      </c>
      <c r="H8" s="50">
        <v>0</v>
      </c>
      <c r="I8" s="22">
        <f t="shared" ref="I8:I16" si="2">SUM(C8:H8)</f>
        <v>4</v>
      </c>
      <c r="J8" s="52">
        <f t="shared" si="0"/>
        <v>0.17391304347826086</v>
      </c>
    </row>
    <row r="9" spans="1:10" ht="37.5" thickTop="1" thickBot="1">
      <c r="A9" s="31" t="s">
        <v>48</v>
      </c>
      <c r="B9" s="31" t="s">
        <v>49</v>
      </c>
      <c r="C9" s="55">
        <v>1</v>
      </c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22">
        <f t="shared" si="2"/>
        <v>1</v>
      </c>
      <c r="J9" s="52">
        <f t="shared" si="0"/>
        <v>4.3478260869565216E-2</v>
      </c>
    </row>
    <row r="10" spans="1:10" ht="25.5" thickTop="1" thickBot="1">
      <c r="A10" s="31" t="s">
        <v>17</v>
      </c>
      <c r="B10" s="31" t="s">
        <v>50</v>
      </c>
      <c r="C10" s="55">
        <v>1</v>
      </c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22">
        <f t="shared" si="2"/>
        <v>1</v>
      </c>
      <c r="J10" s="52">
        <f t="shared" si="0"/>
        <v>4.3478260869565216E-2</v>
      </c>
    </row>
    <row r="11" spans="1:10" ht="20.25" customHeight="1" thickTop="1" thickBot="1">
      <c r="A11" s="162" t="s">
        <v>19</v>
      </c>
      <c r="B11" s="31" t="s">
        <v>20</v>
      </c>
      <c r="C11" s="55">
        <v>5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22">
        <f t="shared" si="2"/>
        <v>5</v>
      </c>
      <c r="J11" s="52">
        <f t="shared" si="0"/>
        <v>0.21739130434782608</v>
      </c>
    </row>
    <row r="12" spans="1:10" ht="24" customHeight="1" thickTop="1" thickBot="1">
      <c r="A12" s="164"/>
      <c r="B12" s="31" t="s">
        <v>21</v>
      </c>
      <c r="C12" s="55">
        <v>3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22">
        <f t="shared" si="2"/>
        <v>3</v>
      </c>
      <c r="J12" s="52">
        <f t="shared" si="0"/>
        <v>0.13043478260869568</v>
      </c>
    </row>
    <row r="13" spans="1:10" ht="16.5" thickTop="1" thickBot="1">
      <c r="A13" s="24" t="s">
        <v>22</v>
      </c>
      <c r="B13" s="31" t="s">
        <v>23</v>
      </c>
      <c r="C13" s="55">
        <v>3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22">
        <f t="shared" si="2"/>
        <v>3</v>
      </c>
      <c r="J13" s="52">
        <f t="shared" si="0"/>
        <v>0.13043478260869568</v>
      </c>
    </row>
    <row r="14" spans="1:10" ht="25.5" thickTop="1" thickBot="1">
      <c r="A14" s="24" t="s">
        <v>26</v>
      </c>
      <c r="B14" s="31" t="s">
        <v>28</v>
      </c>
      <c r="C14" s="53">
        <f>5+1</f>
        <v>6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22">
        <f t="shared" si="2"/>
        <v>6</v>
      </c>
      <c r="J14" s="52">
        <f t="shared" si="0"/>
        <v>0.26086956521739135</v>
      </c>
    </row>
    <row r="15" spans="1:10" ht="25.5" thickTop="1" thickBot="1">
      <c r="A15" s="24" t="s">
        <v>31</v>
      </c>
      <c r="B15" s="31" t="s">
        <v>47</v>
      </c>
      <c r="C15" s="55">
        <v>1</v>
      </c>
      <c r="D15" s="50">
        <v>0</v>
      </c>
      <c r="E15" s="50">
        <v>0</v>
      </c>
      <c r="F15" s="50">
        <v>0</v>
      </c>
      <c r="G15" s="50">
        <v>0</v>
      </c>
      <c r="H15" s="50">
        <v>0</v>
      </c>
      <c r="I15" s="22">
        <f t="shared" si="2"/>
        <v>1</v>
      </c>
      <c r="J15" s="52">
        <f t="shared" si="0"/>
        <v>4.3478260869565216E-2</v>
      </c>
    </row>
    <row r="16" spans="1:10" ht="37.5" thickTop="1" thickBot="1">
      <c r="A16" s="31" t="s">
        <v>29</v>
      </c>
      <c r="B16" s="31" t="s">
        <v>30</v>
      </c>
      <c r="C16" s="55">
        <v>0</v>
      </c>
      <c r="D16" s="50">
        <v>0</v>
      </c>
      <c r="E16" s="50">
        <v>0</v>
      </c>
      <c r="F16" s="50">
        <v>0</v>
      </c>
      <c r="G16" s="50">
        <v>0</v>
      </c>
      <c r="H16" s="56">
        <v>1</v>
      </c>
      <c r="I16" s="22">
        <f t="shared" si="2"/>
        <v>1</v>
      </c>
      <c r="J16" s="52">
        <f t="shared" si="0"/>
        <v>4.3478260869565216E-2</v>
      </c>
    </row>
    <row r="17" spans="1:10" ht="16.5" thickTop="1" thickBot="1">
      <c r="A17" s="157" t="s">
        <v>38</v>
      </c>
      <c r="B17" s="157"/>
      <c r="C17" s="58">
        <f>SUM(C4:C16)</f>
        <v>35</v>
      </c>
      <c r="D17" s="58">
        <f>SUM(D5:D16)</f>
        <v>0</v>
      </c>
      <c r="E17" s="58">
        <f>SUM(E5:E16)</f>
        <v>3</v>
      </c>
      <c r="F17" s="58">
        <f>SUM(F5:F16)</f>
        <v>304</v>
      </c>
      <c r="G17" s="58">
        <f>SUM(G5:G16)</f>
        <v>1956</v>
      </c>
      <c r="H17" s="58">
        <f>SUM(H4:H16)</f>
        <v>2</v>
      </c>
      <c r="I17" s="58">
        <f>SUM(C4:H16)</f>
        <v>2300</v>
      </c>
      <c r="J17" s="59">
        <f>I17/2300*100</f>
        <v>100</v>
      </c>
    </row>
    <row r="18" spans="1:10" ht="15.75" thickTop="1"/>
  </sheetData>
  <mergeCells count="3">
    <mergeCell ref="A4:A6"/>
    <mergeCell ref="A11:A12"/>
    <mergeCell ref="A17:B1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J4" sqref="J4:J12"/>
    </sheetView>
  </sheetViews>
  <sheetFormatPr baseColWidth="10" defaultRowHeight="15"/>
  <cols>
    <col min="1" max="1" width="20.85546875" customWidth="1"/>
    <col min="2" max="2" width="22.42578125" customWidth="1"/>
    <col min="6" max="7" width="13.5703125" customWidth="1"/>
    <col min="9" max="9" width="10.28515625" customWidth="1"/>
    <col min="10" max="10" width="6.140625" customWidth="1"/>
  </cols>
  <sheetData>
    <row r="2" spans="1:10" ht="15.75" thickBot="1"/>
    <row r="3" spans="1:10" ht="16.5" thickTop="1" thickBo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37.5" thickTop="1" thickBot="1">
      <c r="A4" s="159" t="s">
        <v>10</v>
      </c>
      <c r="B4" s="47" t="s">
        <v>11</v>
      </c>
      <c r="C4" s="34">
        <v>0</v>
      </c>
      <c r="D4" s="34">
        <v>0</v>
      </c>
      <c r="E4" s="34">
        <v>0</v>
      </c>
      <c r="F4" s="35">
        <v>315</v>
      </c>
      <c r="G4" s="35">
        <v>2163</v>
      </c>
      <c r="H4" s="35">
        <v>0</v>
      </c>
      <c r="I4" s="62">
        <f t="shared" ref="I4:I11" si="0">SUM(C4:H4)</f>
        <v>2478</v>
      </c>
      <c r="J4" s="63">
        <f t="shared" ref="J4:J11" si="1">I4/2740*100</f>
        <v>90.43795620437956</v>
      </c>
    </row>
    <row r="5" spans="1:10" ht="25.5" thickTop="1" thickBot="1">
      <c r="A5" s="160"/>
      <c r="B5" s="47" t="s">
        <v>12</v>
      </c>
      <c r="C5" s="34">
        <v>0</v>
      </c>
      <c r="D5" s="34">
        <v>0</v>
      </c>
      <c r="E5" s="34">
        <v>0</v>
      </c>
      <c r="F5" s="35">
        <v>29</v>
      </c>
      <c r="G5" s="35">
        <v>197</v>
      </c>
      <c r="H5" s="35">
        <v>0</v>
      </c>
      <c r="I5" s="62">
        <f t="shared" si="0"/>
        <v>226</v>
      </c>
      <c r="J5" s="63">
        <f t="shared" si="1"/>
        <v>8.2481751824817504</v>
      </c>
    </row>
    <row r="6" spans="1:10" ht="25.5" thickTop="1" thickBot="1">
      <c r="A6" s="159" t="s">
        <v>13</v>
      </c>
      <c r="B6" s="47" t="s">
        <v>51</v>
      </c>
      <c r="C6" s="34">
        <v>1</v>
      </c>
      <c r="D6" s="34">
        <v>0</v>
      </c>
      <c r="E6" s="34">
        <v>0</v>
      </c>
      <c r="F6" s="38">
        <v>0</v>
      </c>
      <c r="G6" s="38">
        <v>0</v>
      </c>
      <c r="H6" s="39">
        <v>0</v>
      </c>
      <c r="I6" s="39">
        <f t="shared" si="0"/>
        <v>1</v>
      </c>
      <c r="J6" s="63">
        <f t="shared" si="1"/>
        <v>3.6496350364963501E-2</v>
      </c>
    </row>
    <row r="7" spans="1:10" ht="25.5" thickTop="1" thickBot="1">
      <c r="A7" s="160"/>
      <c r="B7" s="47" t="s">
        <v>14</v>
      </c>
      <c r="C7" s="40">
        <v>5</v>
      </c>
      <c r="D7" s="34">
        <v>0</v>
      </c>
      <c r="E7" s="34">
        <v>0</v>
      </c>
      <c r="F7" s="34">
        <v>0</v>
      </c>
      <c r="G7" s="39">
        <v>0</v>
      </c>
      <c r="H7" s="39">
        <v>0</v>
      </c>
      <c r="I7" s="36">
        <f t="shared" si="0"/>
        <v>5</v>
      </c>
      <c r="J7" s="63">
        <f t="shared" si="1"/>
        <v>0.18248175182481752</v>
      </c>
    </row>
    <row r="8" spans="1:10" ht="16.5" thickTop="1" thickBot="1">
      <c r="A8" s="159" t="s">
        <v>19</v>
      </c>
      <c r="B8" s="43" t="s">
        <v>20</v>
      </c>
      <c r="C8" s="40">
        <v>10</v>
      </c>
      <c r="D8" s="38">
        <v>1</v>
      </c>
      <c r="E8" s="38">
        <v>0</v>
      </c>
      <c r="F8" s="38">
        <v>0</v>
      </c>
      <c r="G8" s="38">
        <v>2</v>
      </c>
      <c r="H8" s="39">
        <v>0</v>
      </c>
      <c r="I8" s="36">
        <f t="shared" si="0"/>
        <v>13</v>
      </c>
      <c r="J8" s="63">
        <f t="shared" si="1"/>
        <v>0.47445255474452552</v>
      </c>
    </row>
    <row r="9" spans="1:10" ht="16.5" thickTop="1" thickBot="1">
      <c r="A9" s="160"/>
      <c r="B9" s="43" t="s">
        <v>21</v>
      </c>
      <c r="C9" s="40">
        <v>2</v>
      </c>
      <c r="D9" s="38">
        <v>0</v>
      </c>
      <c r="E9" s="38">
        <v>0</v>
      </c>
      <c r="F9" s="38">
        <v>0</v>
      </c>
      <c r="G9" s="38">
        <v>0</v>
      </c>
      <c r="H9" s="39">
        <v>0</v>
      </c>
      <c r="I9" s="36">
        <f t="shared" si="0"/>
        <v>2</v>
      </c>
      <c r="J9" s="63">
        <f t="shared" si="1"/>
        <v>7.2992700729927001E-2</v>
      </c>
    </row>
    <row r="10" spans="1:10" ht="16.5" thickTop="1" thickBot="1">
      <c r="A10" s="48" t="s">
        <v>22</v>
      </c>
      <c r="B10" s="43" t="s">
        <v>23</v>
      </c>
      <c r="C10" s="40">
        <v>4</v>
      </c>
      <c r="D10" s="38">
        <v>0</v>
      </c>
      <c r="E10" s="38">
        <v>0</v>
      </c>
      <c r="F10" s="38">
        <v>0</v>
      </c>
      <c r="G10" s="38">
        <v>0</v>
      </c>
      <c r="H10" s="39">
        <v>0</v>
      </c>
      <c r="I10" s="36">
        <f t="shared" si="0"/>
        <v>4</v>
      </c>
      <c r="J10" s="63">
        <f t="shared" si="1"/>
        <v>0.145985401459854</v>
      </c>
    </row>
    <row r="11" spans="1:10" ht="37.5" thickTop="1" thickBot="1">
      <c r="A11" s="48" t="s">
        <v>26</v>
      </c>
      <c r="B11" s="47" t="s">
        <v>28</v>
      </c>
      <c r="C11" s="34">
        <f>8+1</f>
        <v>9</v>
      </c>
      <c r="D11" s="38">
        <v>2</v>
      </c>
      <c r="E11" s="38">
        <v>0</v>
      </c>
      <c r="F11" s="38">
        <v>0</v>
      </c>
      <c r="G11" s="38">
        <v>0</v>
      </c>
      <c r="H11" s="39">
        <v>0</v>
      </c>
      <c r="I11" s="36">
        <f t="shared" si="0"/>
        <v>11</v>
      </c>
      <c r="J11" s="63">
        <f t="shared" si="1"/>
        <v>0.40145985401459855</v>
      </c>
    </row>
    <row r="12" spans="1:10" ht="16.5" thickTop="1" thickBot="1">
      <c r="A12" s="161" t="s">
        <v>38</v>
      </c>
      <c r="B12" s="161"/>
      <c r="C12" s="45">
        <f t="shared" ref="C12:H12" si="2">SUM(C4:C11)</f>
        <v>31</v>
      </c>
      <c r="D12" s="45">
        <f t="shared" si="2"/>
        <v>3</v>
      </c>
      <c r="E12" s="45">
        <f t="shared" si="2"/>
        <v>0</v>
      </c>
      <c r="F12" s="45">
        <f t="shared" si="2"/>
        <v>344</v>
      </c>
      <c r="G12" s="45">
        <f t="shared" si="2"/>
        <v>2362</v>
      </c>
      <c r="H12" s="45">
        <f t="shared" si="2"/>
        <v>0</v>
      </c>
      <c r="I12" s="45">
        <f>SUM(C4:H11)</f>
        <v>2740</v>
      </c>
      <c r="J12" s="46">
        <f>I12/2740*100</f>
        <v>100</v>
      </c>
    </row>
    <row r="13" spans="1:10" ht="15.75" thickTop="1"/>
  </sheetData>
  <mergeCells count="4">
    <mergeCell ref="A8:A9"/>
    <mergeCell ref="A12:B12"/>
    <mergeCell ref="A4:A5"/>
    <mergeCell ref="A6:A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3"/>
  <sheetViews>
    <sheetView workbookViewId="0">
      <selection activeCell="H17" sqref="H17"/>
    </sheetView>
  </sheetViews>
  <sheetFormatPr baseColWidth="10" defaultRowHeight="15"/>
  <cols>
    <col min="1" max="1" width="15.85546875" customWidth="1"/>
    <col min="2" max="2" width="17.140625" customWidth="1"/>
    <col min="4" max="4" width="8.7109375" customWidth="1"/>
    <col min="7" max="7" width="13.140625" customWidth="1"/>
    <col min="10" max="10" width="5.5703125" bestFit="1" customWidth="1"/>
  </cols>
  <sheetData>
    <row r="2" spans="1:10" ht="15.75" thickBot="1"/>
    <row r="3" spans="1:10" ht="27" thickTop="1" thickBot="1">
      <c r="A3" s="32" t="s">
        <v>0</v>
      </c>
      <c r="B3" s="32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32" t="s">
        <v>8</v>
      </c>
      <c r="J3" s="32" t="s">
        <v>9</v>
      </c>
    </row>
    <row r="4" spans="1:10" ht="57.75" customHeight="1" thickTop="1" thickBot="1">
      <c r="A4" s="159" t="s">
        <v>10</v>
      </c>
      <c r="B4" s="60" t="s">
        <v>11</v>
      </c>
      <c r="C4" s="69">
        <v>1</v>
      </c>
      <c r="D4" s="70">
        <v>0</v>
      </c>
      <c r="E4" s="70">
        <v>0</v>
      </c>
      <c r="F4" s="70">
        <v>177</v>
      </c>
      <c r="G4" s="70">
        <v>1816</v>
      </c>
      <c r="H4" s="70">
        <v>0</v>
      </c>
      <c r="I4" s="70">
        <f t="shared" ref="I4:I11" si="0">SUM(C4:H4)</f>
        <v>1994</v>
      </c>
      <c r="J4" s="66">
        <f t="shared" ref="J4:J11" si="1">I4/2229*100</f>
        <v>89.457155675190663</v>
      </c>
    </row>
    <row r="5" spans="1:10" ht="25.5" thickTop="1" thickBot="1">
      <c r="A5" s="160"/>
      <c r="B5" s="60" t="s">
        <v>12</v>
      </c>
      <c r="C5" s="69">
        <v>0</v>
      </c>
      <c r="D5" s="70">
        <v>0</v>
      </c>
      <c r="E5" s="70">
        <v>0</v>
      </c>
      <c r="F5" s="70">
        <v>27</v>
      </c>
      <c r="G5" s="70">
        <v>187</v>
      </c>
      <c r="H5" s="70">
        <v>0</v>
      </c>
      <c r="I5" s="70">
        <f t="shared" si="0"/>
        <v>214</v>
      </c>
      <c r="J5" s="66">
        <f t="shared" si="1"/>
        <v>9.600717810677434</v>
      </c>
    </row>
    <row r="6" spans="1:10" ht="37.5" thickTop="1" thickBot="1">
      <c r="A6" s="61" t="s">
        <v>13</v>
      </c>
      <c r="B6" s="60" t="s">
        <v>14</v>
      </c>
      <c r="C6" s="71">
        <f>1+1+3</f>
        <v>5</v>
      </c>
      <c r="D6" s="70">
        <v>0</v>
      </c>
      <c r="E6" s="72">
        <v>1</v>
      </c>
      <c r="F6" s="72">
        <v>0</v>
      </c>
      <c r="G6" s="72">
        <v>0</v>
      </c>
      <c r="H6" s="72">
        <v>0</v>
      </c>
      <c r="I6" s="72">
        <f t="shared" si="0"/>
        <v>6</v>
      </c>
      <c r="J6" s="66">
        <f t="shared" si="1"/>
        <v>0.26917900403768508</v>
      </c>
    </row>
    <row r="7" spans="1:10" ht="72.75" customHeight="1" thickTop="1" thickBot="1">
      <c r="A7" s="61" t="s">
        <v>15</v>
      </c>
      <c r="B7" s="43" t="s">
        <v>16</v>
      </c>
      <c r="C7" s="71">
        <v>3</v>
      </c>
      <c r="D7" s="70">
        <v>0</v>
      </c>
      <c r="E7" s="70">
        <v>0</v>
      </c>
      <c r="F7" s="72">
        <v>0</v>
      </c>
      <c r="G7" s="72">
        <v>1</v>
      </c>
      <c r="H7" s="72">
        <v>0</v>
      </c>
      <c r="I7" s="72">
        <f t="shared" si="0"/>
        <v>4</v>
      </c>
      <c r="J7" s="66">
        <f t="shared" si="1"/>
        <v>0.17945266935845669</v>
      </c>
    </row>
    <row r="8" spans="1:10" ht="16.5" thickTop="1" thickBot="1">
      <c r="A8" s="159" t="s">
        <v>19</v>
      </c>
      <c r="B8" s="43" t="s">
        <v>21</v>
      </c>
      <c r="C8" s="69">
        <v>2</v>
      </c>
      <c r="D8" s="70">
        <v>0</v>
      </c>
      <c r="E8" s="70">
        <v>0</v>
      </c>
      <c r="F8" s="72">
        <v>0</v>
      </c>
      <c r="G8" s="70">
        <v>0</v>
      </c>
      <c r="H8" s="70">
        <v>0</v>
      </c>
      <c r="I8" s="72">
        <f t="shared" si="0"/>
        <v>2</v>
      </c>
      <c r="J8" s="66">
        <f t="shared" si="1"/>
        <v>8.9726334679228345E-2</v>
      </c>
    </row>
    <row r="9" spans="1:10" ht="16.5" thickTop="1" thickBot="1">
      <c r="A9" s="160"/>
      <c r="B9" s="43" t="s">
        <v>45</v>
      </c>
      <c r="C9" s="69">
        <v>1</v>
      </c>
      <c r="D9" s="70">
        <v>0</v>
      </c>
      <c r="E9" s="70">
        <v>0</v>
      </c>
      <c r="F9" s="72">
        <v>0</v>
      </c>
      <c r="G9" s="70">
        <v>0</v>
      </c>
      <c r="H9" s="70">
        <v>0</v>
      </c>
      <c r="I9" s="72">
        <f t="shared" si="0"/>
        <v>1</v>
      </c>
      <c r="J9" s="66">
        <f t="shared" si="1"/>
        <v>4.4863167339614173E-2</v>
      </c>
    </row>
    <row r="10" spans="1:10" ht="16.5" thickTop="1" thickBot="1">
      <c r="A10" s="61" t="s">
        <v>22</v>
      </c>
      <c r="B10" s="43" t="s">
        <v>23</v>
      </c>
      <c r="C10" s="71">
        <v>3</v>
      </c>
      <c r="D10" s="70">
        <v>0</v>
      </c>
      <c r="E10" s="70">
        <v>0</v>
      </c>
      <c r="F10" s="72">
        <v>0</v>
      </c>
      <c r="G10" s="72">
        <v>0</v>
      </c>
      <c r="H10" s="72">
        <v>0</v>
      </c>
      <c r="I10" s="72">
        <f t="shared" si="0"/>
        <v>3</v>
      </c>
      <c r="J10" s="66">
        <f t="shared" si="1"/>
        <v>0.13458950201884254</v>
      </c>
    </row>
    <row r="11" spans="1:10" ht="51" customHeight="1" thickTop="1" thickBot="1">
      <c r="A11" s="61" t="s">
        <v>26</v>
      </c>
      <c r="B11" s="67" t="s">
        <v>28</v>
      </c>
      <c r="C11" s="69">
        <v>2</v>
      </c>
      <c r="D11" s="70">
        <v>0</v>
      </c>
      <c r="E11" s="72">
        <v>2</v>
      </c>
      <c r="F11" s="72">
        <v>0</v>
      </c>
      <c r="G11" s="72">
        <v>1</v>
      </c>
      <c r="H11" s="72">
        <v>0</v>
      </c>
      <c r="I11" s="72">
        <f t="shared" si="0"/>
        <v>5</v>
      </c>
      <c r="J11" s="66">
        <f t="shared" si="1"/>
        <v>0.22431583669807087</v>
      </c>
    </row>
    <row r="12" spans="1:10" ht="16.5" thickTop="1" thickBot="1">
      <c r="A12" s="161" t="s">
        <v>38</v>
      </c>
      <c r="B12" s="161"/>
      <c r="C12" s="38">
        <f t="shared" ref="C12:H12" si="2">SUM(C4:C11)</f>
        <v>17</v>
      </c>
      <c r="D12" s="38">
        <f t="shared" si="2"/>
        <v>0</v>
      </c>
      <c r="E12" s="38">
        <f t="shared" si="2"/>
        <v>3</v>
      </c>
      <c r="F12" s="38">
        <f t="shared" si="2"/>
        <v>204</v>
      </c>
      <c r="G12" s="38">
        <f t="shared" si="2"/>
        <v>2005</v>
      </c>
      <c r="H12" s="38">
        <f t="shared" si="2"/>
        <v>0</v>
      </c>
      <c r="I12" s="38">
        <f>SUM(C4:H11)</f>
        <v>2229</v>
      </c>
      <c r="J12" s="68">
        <f>I12/2229*100</f>
        <v>100</v>
      </c>
    </row>
    <row r="13" spans="1:10" ht="15.75" thickTop="1"/>
  </sheetData>
  <mergeCells count="3">
    <mergeCell ref="A4:A5"/>
    <mergeCell ref="A8:A9"/>
    <mergeCell ref="A12:B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31</vt:i4>
      </vt:variant>
    </vt:vector>
  </HeadingPairs>
  <TitlesOfParts>
    <vt:vector size="31" baseType="lpstr">
      <vt:lpstr>Enero</vt:lpstr>
      <vt:lpstr>Febrero</vt:lpstr>
      <vt:lpstr>Marzo</vt:lpstr>
      <vt:lpstr>Abril</vt:lpstr>
      <vt:lpstr>Julio</vt:lpstr>
      <vt:lpstr>Agosto</vt:lpstr>
      <vt:lpstr>Septiembre</vt:lpstr>
      <vt:lpstr>Octubre</vt:lpstr>
      <vt:lpstr>Diciembre</vt:lpstr>
      <vt:lpstr>Febrero 2021</vt:lpstr>
      <vt:lpstr>Marzo 2021</vt:lpstr>
      <vt:lpstr>Abril 2021</vt:lpstr>
      <vt:lpstr>MAYO 2021</vt:lpstr>
      <vt:lpstr>JUNIO 2021</vt:lpstr>
      <vt:lpstr>JULIO 2021</vt:lpstr>
      <vt:lpstr>AGOSTO 2021</vt:lpstr>
      <vt:lpstr>SEPTIEMBRE 2021</vt:lpstr>
      <vt:lpstr>OCTUBRE 2021</vt:lpstr>
      <vt:lpstr>NOVIEMBRE 2021</vt:lpstr>
      <vt:lpstr>ENERO 2022</vt:lpstr>
      <vt:lpstr>FEBRERO 2022</vt:lpstr>
      <vt:lpstr>MARZO 2022</vt:lpstr>
      <vt:lpstr>ABRIL 2022</vt:lpstr>
      <vt:lpstr>MAYO 2022</vt:lpstr>
      <vt:lpstr>JUNIO 2022</vt:lpstr>
      <vt:lpstr>JULIO 2022</vt:lpstr>
      <vt:lpstr>AGOSTO 2022</vt:lpstr>
      <vt:lpstr>SEPTIEMBRE 2022</vt:lpstr>
      <vt:lpstr>NOVIEMBRE 2022</vt:lpstr>
      <vt:lpstr>DICIEMBRE 2022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Andrea Fuertes Payan</dc:creator>
  <cp:lastModifiedBy>Paula Andrea Fuertes Payan</cp:lastModifiedBy>
  <dcterms:created xsi:type="dcterms:W3CDTF">2020-06-08T17:11:38Z</dcterms:created>
  <dcterms:modified xsi:type="dcterms:W3CDTF">2023-01-23T12:20:51Z</dcterms:modified>
</cp:coreProperties>
</file>