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Y:\GRUPO DE PRESUPUESTO\2022\TRANSPARENCIA\"/>
    </mc:Choice>
  </mc:AlternateContent>
  <xr:revisionPtr revIDLastSave="0" documentId="13_ncr:1_{F3EB9773-1E5B-469E-AD74-0B7CEC672967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VALIDACION" sheetId="2" state="hidden" r:id="rId1"/>
    <sheet name="2022" sheetId="11" r:id="rId2"/>
    <sheet name="REP_ING032_InformeGestionIngres" sheetId="4" state="hidden" r:id="rId3"/>
    <sheet name="INGRESOS 2020 ANT" sheetId="1" state="hidden" r:id="rId4"/>
  </sheets>
  <definedNames>
    <definedName name="_xlnm.Print_Titles" localSheetId="2">REP_ING032_InformeGestionIngres!$1:$1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" i="11" l="1"/>
  <c r="N7" i="11"/>
  <c r="O7" i="11" s="1"/>
  <c r="R18" i="11"/>
  <c r="R16" i="11"/>
  <c r="R15" i="11"/>
  <c r="R14" i="11"/>
  <c r="R13" i="11"/>
  <c r="R12" i="11"/>
  <c r="R11" i="11"/>
  <c r="R10" i="11"/>
  <c r="R9" i="11"/>
  <c r="R8" i="11"/>
  <c r="Q18" i="11"/>
  <c r="Q17" i="11"/>
  <c r="Q16" i="11"/>
  <c r="Q15" i="11"/>
  <c r="Q14" i="11"/>
  <c r="Q13" i="11"/>
  <c r="Q12" i="11"/>
  <c r="Q11" i="11"/>
  <c r="Q10" i="11"/>
  <c r="Q9" i="11"/>
  <c r="Q8" i="11"/>
  <c r="P18" i="11"/>
  <c r="P17" i="11"/>
  <c r="P16" i="11"/>
  <c r="P15" i="11"/>
  <c r="P14" i="11"/>
  <c r="P13" i="11"/>
  <c r="P12" i="11"/>
  <c r="P11" i="11"/>
  <c r="P10" i="11"/>
  <c r="P9" i="11"/>
  <c r="P8" i="11"/>
  <c r="O18" i="11"/>
  <c r="O17" i="11"/>
  <c r="O16" i="11"/>
  <c r="O15" i="11"/>
  <c r="O14" i="11"/>
  <c r="O13" i="11"/>
  <c r="O12" i="11"/>
  <c r="O11" i="11"/>
  <c r="O10" i="11"/>
  <c r="O9" i="11"/>
  <c r="O8" i="11"/>
  <c r="N18" i="11"/>
  <c r="N17" i="11"/>
  <c r="N16" i="11"/>
  <c r="N15" i="11"/>
  <c r="N14" i="11"/>
  <c r="N13" i="11"/>
  <c r="N12" i="11"/>
  <c r="N11" i="11"/>
  <c r="N10" i="11"/>
  <c r="N9" i="11"/>
  <c r="N8" i="11"/>
  <c r="M7" i="11"/>
  <c r="I17" i="11"/>
  <c r="I16" i="11"/>
  <c r="I13" i="11"/>
  <c r="I12" i="11"/>
  <c r="I9" i="11"/>
  <c r="H18" i="11"/>
  <c r="H17" i="11"/>
  <c r="H16" i="11"/>
  <c r="H15" i="11"/>
  <c r="I15" i="11" s="1"/>
  <c r="H14" i="11"/>
  <c r="H13" i="11"/>
  <c r="H12" i="11"/>
  <c r="H11" i="11"/>
  <c r="I11" i="11" s="1"/>
  <c r="H10" i="11"/>
  <c r="H9" i="11"/>
  <c r="H8" i="11"/>
  <c r="I8" i="11" s="1"/>
  <c r="H7" i="11"/>
  <c r="P7" i="11" l="1"/>
  <c r="Q7" i="11" s="1"/>
  <c r="I7" i="11"/>
  <c r="J11" i="11"/>
  <c r="K11" i="11" s="1"/>
  <c r="J12" i="11"/>
  <c r="M12" i="11" s="1"/>
  <c r="K16" i="11"/>
  <c r="L12" i="11"/>
  <c r="I10" i="11"/>
  <c r="I14" i="11"/>
  <c r="J14" i="11" s="1"/>
  <c r="K14" i="11" s="1"/>
  <c r="I18" i="11"/>
  <c r="J9" i="11"/>
  <c r="K9" i="11" s="1"/>
  <c r="L9" i="11" s="1"/>
  <c r="J13" i="11"/>
  <c r="J17" i="11"/>
  <c r="J7" i="11"/>
  <c r="J15" i="11"/>
  <c r="K15" i="11" s="1"/>
  <c r="J8" i="11"/>
  <c r="J16" i="11"/>
  <c r="L16" i="11" s="1"/>
  <c r="K12" i="11"/>
  <c r="Y12" i="11" s="1"/>
  <c r="J10" i="11"/>
  <c r="K10" i="11" s="1"/>
  <c r="J18" i="11"/>
  <c r="K18" i="11" s="1"/>
  <c r="F13" i="11"/>
  <c r="R7" i="11" l="1"/>
  <c r="S7" i="11" s="1"/>
  <c r="L18" i="11"/>
  <c r="M18" i="11" s="1"/>
  <c r="L13" i="11"/>
  <c r="M13" i="11" s="1"/>
  <c r="L10" i="11"/>
  <c r="L15" i="11"/>
  <c r="M10" i="11"/>
  <c r="L14" i="11"/>
  <c r="M14" i="11" s="1"/>
  <c r="L11" i="11"/>
  <c r="M11" i="11" s="1"/>
  <c r="K13" i="11"/>
  <c r="Y13" i="11" s="1"/>
  <c r="M16" i="11"/>
  <c r="K8" i="11"/>
  <c r="L8" i="11" s="1"/>
  <c r="L7" i="11"/>
  <c r="M9" i="11"/>
  <c r="M15" i="11"/>
  <c r="K17" i="11"/>
  <c r="K7" i="11"/>
  <c r="S12" i="11"/>
  <c r="X18" i="11"/>
  <c r="F17" i="11"/>
  <c r="F16" i="11"/>
  <c r="F15" i="11"/>
  <c r="F14" i="11"/>
  <c r="F12" i="11"/>
  <c r="F11" i="11"/>
  <c r="F10" i="11"/>
  <c r="F9" i="11"/>
  <c r="F8" i="11"/>
  <c r="F7" i="11"/>
  <c r="L17" i="11" l="1"/>
  <c r="M17" i="11" s="1"/>
  <c r="M8" i="11"/>
  <c r="S13" i="11"/>
  <c r="T13" i="11" s="1"/>
  <c r="T12" i="11"/>
  <c r="X17" i="11"/>
  <c r="X16" i="11"/>
  <c r="X15" i="11"/>
  <c r="X14" i="11"/>
  <c r="X11" i="11"/>
  <c r="X10" i="11"/>
  <c r="X9" i="11"/>
  <c r="X8" i="11"/>
  <c r="X7" i="11"/>
  <c r="S10" i="11" l="1"/>
  <c r="T10" i="11" s="1"/>
  <c r="S16" i="11" l="1"/>
  <c r="T16" i="11" s="1"/>
  <c r="Y10" i="11"/>
  <c r="Z10" i="11" s="1"/>
  <c r="Y16" i="11"/>
  <c r="Z16" i="11" s="1"/>
  <c r="Y8" i="11"/>
  <c r="Z8" i="11" s="1"/>
  <c r="Y9" i="11"/>
  <c r="Z9" i="11" s="1"/>
  <c r="S11" i="11"/>
  <c r="T11" i="11" s="1"/>
  <c r="Y15" i="11"/>
  <c r="Z15" i="11" s="1"/>
  <c r="S15" i="11"/>
  <c r="T15" i="11" s="1"/>
  <c r="J15" i="2"/>
  <c r="J14" i="2"/>
  <c r="M14" i="2" s="1"/>
  <c r="J13" i="2"/>
  <c r="M13" i="2" s="1"/>
  <c r="J12" i="2"/>
  <c r="J11" i="2"/>
  <c r="M11" i="2" s="1"/>
  <c r="J10" i="2"/>
  <c r="M10" i="2" s="1"/>
  <c r="J9" i="2"/>
  <c r="J8" i="2"/>
  <c r="J7" i="2"/>
  <c r="M7" i="2" s="1"/>
  <c r="N16" i="2"/>
  <c r="K16" i="2"/>
  <c r="H16" i="2"/>
  <c r="Q15" i="2"/>
  <c r="Q14" i="2"/>
  <c r="Q13" i="2"/>
  <c r="Q12" i="2"/>
  <c r="Q11" i="2"/>
  <c r="Q10" i="2"/>
  <c r="Q9" i="2"/>
  <c r="F9" i="2"/>
  <c r="F10" i="2" s="1"/>
  <c r="Q8" i="2"/>
  <c r="F8" i="2"/>
  <c r="Q7" i="2"/>
  <c r="F7" i="2"/>
  <c r="K15" i="1"/>
  <c r="M15" i="1" s="1"/>
  <c r="N15" i="1" s="1"/>
  <c r="K14" i="1"/>
  <c r="M14" i="1" s="1"/>
  <c r="N14" i="1" s="1"/>
  <c r="K13" i="1"/>
  <c r="M13" i="1" s="1"/>
  <c r="N13" i="1" s="1"/>
  <c r="K12" i="1"/>
  <c r="M12" i="1" s="1"/>
  <c r="N12" i="1" s="1"/>
  <c r="K11" i="1"/>
  <c r="M11" i="1" s="1"/>
  <c r="N11" i="1" s="1"/>
  <c r="K10" i="1"/>
  <c r="M10" i="1" s="1"/>
  <c r="K9" i="1"/>
  <c r="M9" i="1" s="1"/>
  <c r="K8" i="1"/>
  <c r="M8" i="1" s="1"/>
  <c r="K7" i="1"/>
  <c r="M7" i="1" s="1"/>
  <c r="F9" i="1"/>
  <c r="F10" i="1" s="1"/>
  <c r="F8" i="1"/>
  <c r="N8" i="1" s="1"/>
  <c r="F7" i="1"/>
  <c r="T7" i="11" l="1"/>
  <c r="S8" i="11"/>
  <c r="T8" i="11" s="1"/>
  <c r="Y7" i="11"/>
  <c r="Z7" i="11" s="1"/>
  <c r="Y18" i="11"/>
  <c r="Z18" i="11" s="1"/>
  <c r="S18" i="11"/>
  <c r="T18" i="11" s="1"/>
  <c r="S9" i="11"/>
  <c r="T9" i="11" s="1"/>
  <c r="Y11" i="11"/>
  <c r="Z11" i="11" s="1"/>
  <c r="Y14" i="11"/>
  <c r="Z14" i="11" s="1"/>
  <c r="N10" i="1"/>
  <c r="N9" i="1"/>
  <c r="M9" i="2"/>
  <c r="P9" i="2" s="1"/>
  <c r="P14" i="2"/>
  <c r="S14" i="2" s="1"/>
  <c r="T14" i="2" s="1"/>
  <c r="U14" i="2" s="1"/>
  <c r="P13" i="2"/>
  <c r="S13" i="2" s="1"/>
  <c r="T13" i="2" s="1"/>
  <c r="U13" i="2" s="1"/>
  <c r="N7" i="1"/>
  <c r="J16" i="2"/>
  <c r="I16" i="2" s="1"/>
  <c r="M8" i="2"/>
  <c r="P8" i="2" s="1"/>
  <c r="M12" i="2"/>
  <c r="M15" i="2"/>
  <c r="P15" i="2" s="1"/>
  <c r="P10" i="2"/>
  <c r="S10" i="2" s="1"/>
  <c r="T10" i="2" s="1"/>
  <c r="U10" i="2" s="1"/>
  <c r="P7" i="2"/>
  <c r="S7" i="2" s="1"/>
  <c r="T7" i="2" s="1"/>
  <c r="U7" i="2" s="1"/>
  <c r="P11" i="2"/>
  <c r="S11" i="2" s="1"/>
  <c r="M16" i="2" l="1"/>
  <c r="L16" i="2" s="1"/>
  <c r="S8" i="2"/>
  <c r="S14" i="11"/>
  <c r="T14" i="11" s="1"/>
  <c r="S9" i="2"/>
  <c r="T9" i="2"/>
  <c r="U9" i="2" s="1"/>
  <c r="T8" i="2"/>
  <c r="U8" i="2" s="1"/>
  <c r="T11" i="2"/>
  <c r="U11" i="2" s="1"/>
  <c r="S15" i="2"/>
  <c r="T15" i="2" s="1"/>
  <c r="U15" i="2" s="1"/>
  <c r="P12" i="2"/>
  <c r="P16" i="2" s="1"/>
  <c r="O16" i="2" s="1"/>
  <c r="S12" i="2" l="1"/>
  <c r="T12" i="2" s="1"/>
  <c r="U12" i="2" s="1"/>
  <c r="Y17" i="11"/>
  <c r="Z17" i="11" s="1"/>
  <c r="S17" i="11"/>
  <c r="T17" i="11" s="1"/>
</calcChain>
</file>

<file path=xl/sharedStrings.xml><?xml version="1.0" encoding="utf-8"?>
<sst xmlns="http://schemas.openxmlformats.org/spreadsheetml/2006/main" count="1714" uniqueCount="253">
  <si>
    <t>Ejecución Presupuestal de Ingresos</t>
  </si>
  <si>
    <t>AGENCIA LOGISTICA DE LAS FUERZAS MILITARES</t>
  </si>
  <si>
    <t>RUBRO</t>
  </si>
  <si>
    <t>Descripción</t>
  </si>
  <si>
    <t>PROGRAMACION</t>
  </si>
  <si>
    <t>EJECUCION NETA</t>
  </si>
  <si>
    <t>AFORO INICIAL</t>
  </si>
  <si>
    <t>MODIFICACIONES AFORO</t>
  </si>
  <si>
    <t>AFORO VIGENTE</t>
  </si>
  <si>
    <t>ENERO</t>
  </si>
  <si>
    <t>FEBRERO</t>
  </si>
  <si>
    <t>RECAUDO EN EFECTIVO ACUMULADO NETO</t>
  </si>
  <si>
    <t>AFORO POR RECAUDAR</t>
  </si>
  <si>
    <t>RECURSOS PROPIOS DE ESTABLECIMIENTOS PÚBLICOS</t>
  </si>
  <si>
    <t>3-1</t>
  </si>
  <si>
    <t>3-1-01</t>
  </si>
  <si>
    <t>3-1-01-1</t>
  </si>
  <si>
    <t>INGRESOS CORRIENTES</t>
  </si>
  <si>
    <t>3-1-01-1-02</t>
  </si>
  <si>
    <t>INGRESOS NO TRIBUTARIOS</t>
  </si>
  <si>
    <t>3-1-01-2</t>
  </si>
  <si>
    <t>RECURSOS DE CAPITAL</t>
  </si>
  <si>
    <t>3-1-01-2-05</t>
  </si>
  <si>
    <t>RENDIMIENTOS FINANCIEROS</t>
  </si>
  <si>
    <t>3-1-01-2-09</t>
  </si>
  <si>
    <t>RECUPERACIÓN DE CARTERA – PRÉSTAMOS</t>
  </si>
  <si>
    <t>3-1-01-2-13</t>
  </si>
  <si>
    <t>REINTEGROS Y OTROS RECURSOS NO APROPIADOS</t>
  </si>
  <si>
    <t>MARZO</t>
  </si>
  <si>
    <t>ABRIL</t>
  </si>
  <si>
    <t>MAYO</t>
  </si>
  <si>
    <t>Vigencia: 01-01-2020 al 31-05-2020</t>
  </si>
  <si>
    <t>calculo</t>
  </si>
  <si>
    <t>saldo reporte</t>
  </si>
  <si>
    <t>Caluclo</t>
  </si>
  <si>
    <t>Nota: Tomando los datos de abril, saldría negativo el aforo por recaudar</t>
  </si>
  <si>
    <t>FEBRERO del formato</t>
  </si>
  <si>
    <t>MARZO   del formato</t>
  </si>
  <si>
    <t>ABRIL  del formato</t>
  </si>
  <si>
    <t>MAYO  del formato</t>
  </si>
  <si>
    <t>JUNIO</t>
  </si>
  <si>
    <t>JULIO</t>
  </si>
  <si>
    <t>AGOSTO</t>
  </si>
  <si>
    <t>SEPTIEMBRE</t>
  </si>
  <si>
    <t>EJECUCIÓN NETA</t>
  </si>
  <si>
    <t>OCTUBRE</t>
  </si>
  <si>
    <t>NOVIEMBRE</t>
  </si>
  <si>
    <t>DICIEMBRE</t>
  </si>
  <si>
    <t>Informe Gestión de Ingresos</t>
  </si>
  <si>
    <t>Usuario Solicitante:</t>
  </si>
  <si>
    <t>MHepernet EMMA PATRICIA PERNET DE LOS REYES</t>
  </si>
  <si>
    <t>Unidad ó Subunidad Ejecutora  Solicitante:</t>
  </si>
  <si>
    <t>15-20-00 AGENCIA LOGISTICA DE LAS FUERZAS MILITARES</t>
  </si>
  <si>
    <t>Fecha y Hora Sistema:</t>
  </si>
  <si>
    <t>2021-01-06-1:34 p. m.</t>
  </si>
  <si>
    <t>Año Fiscal</t>
  </si>
  <si>
    <t>2020</t>
  </si>
  <si>
    <t/>
  </si>
  <si>
    <t>Mes</t>
  </si>
  <si>
    <t>Diciembre</t>
  </si>
  <si>
    <t xml:space="preserve">Posición Institucional </t>
  </si>
  <si>
    <t xml:space="preserve"> - </t>
  </si>
  <si>
    <t>Nivel Catálogo de Ingresos:</t>
  </si>
  <si>
    <t>Ley</t>
  </si>
  <si>
    <t>Tipo de Reporte</t>
  </si>
  <si>
    <t>Saldos</t>
  </si>
  <si>
    <t>Fuente  de Financiación:</t>
  </si>
  <si>
    <t>Nación y Propios</t>
  </si>
  <si>
    <t>Situación de Fondos:</t>
  </si>
  <si>
    <t>CSF y SSF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</si>
  <si>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</si>
  <si>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</si>
  <si>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</si>
  <si>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</si>
  <si>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</si>
  <si>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</si>
  <si>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</si>
  <si>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</si>
  <si>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</si>
  <si>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</si>
  <si>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</si>
  <si>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</si>
  <si>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</si>
  <si>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</si>
  <si>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</si>
  <si>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</si>
  <si>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</si>
  <si>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</si>
  <si>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</si>
  <si>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</si>
  <si>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DERECHOS CAUSADOS BRUTO</t>
  </si>
  <si>
    <t>DERECHOS CASTIGADOS</t>
  </si>
  <si>
    <t>DEVOLUCIONES CAUSADAS</t>
  </si>
  <si>
    <t>DERECHOS CAUSADOS NETO</t>
  </si>
  <si>
    <t>RECAUDO EN EFECTIVO</t>
  </si>
  <si>
    <t>DEVOLUCIONES PAGADAS EFECTIVO</t>
  </si>
  <si>
    <r>
      <rPr>
        <b/>
        <sz val="7"/>
        <color indexed="9"/>
        <rFont val="Arial Narrow"/>
        <family val="2"/>
      </rPr>
      <t xml:space="preserve">TOTAL RECAUDO EFECTIVO
</t>
    </r>
    <r>
      <rPr>
        <b/>
        <sz val="7"/>
        <color indexed="9"/>
        <rFont val="Arial Narrow"/>
        <family val="2"/>
      </rPr>
      <t>NETO</t>
    </r>
  </si>
  <si>
    <t>RECAUDO EN TITULOS</t>
  </si>
  <si>
    <t>DEVOLUCIONES PAGADAS TITULOS</t>
  </si>
  <si>
    <t>TOTAL RECAUDOS TITULOS</t>
  </si>
  <si>
    <t>RECAUDO EN COMPENSACIONES</t>
  </si>
  <si>
    <t>TOTAL RECAUDO NETO</t>
  </si>
  <si>
    <t xml:space="preserve">PENDIENTE DE COBRO </t>
  </si>
  <si>
    <t>3</t>
  </si>
  <si>
    <t>637.229.233.150,85</t>
  </si>
  <si>
    <t>0,00</t>
  </si>
  <si>
    <t>651.708.636.856,79</t>
  </si>
  <si>
    <t>-14.479.403.705,94</t>
  </si>
  <si>
    <t>1</t>
  </si>
  <si>
    <t>01</t>
  </si>
  <si>
    <t>614.279.205.969,76</t>
  </si>
  <si>
    <t>628.758.610.130,70</t>
  </si>
  <si>
    <t>-14.479.404.160,94</t>
  </si>
  <si>
    <t>02</t>
  </si>
  <si>
    <t>MULTAS, SANCIONES E INTERESES DE MORA</t>
  </si>
  <si>
    <t>329.076.691,00</t>
  </si>
  <si>
    <t>301.856.602,00</t>
  </si>
  <si>
    <t>27.220.089,00</t>
  </si>
  <si>
    <t>MULTAS Y SANCIONES</t>
  </si>
  <si>
    <t>318.241.253,00</t>
  </si>
  <si>
    <t>291.021.164,00</t>
  </si>
  <si>
    <t>03</t>
  </si>
  <si>
    <t>SANCIONES DISCIPLINARIAS</t>
  </si>
  <si>
    <t>30.765.458,00</t>
  </si>
  <si>
    <t>3.545.369,00</t>
  </si>
  <si>
    <t>04</t>
  </si>
  <si>
    <t>SANCIONES CONTRACTUALES</t>
  </si>
  <si>
    <t>159.960.775,00</t>
  </si>
  <si>
    <t>05</t>
  </si>
  <si>
    <t>SANCIONES ADMINISTRATIVAS</t>
  </si>
  <si>
    <t>127.515.020,00</t>
  </si>
  <si>
    <t>INTERESES DE MORA</t>
  </si>
  <si>
    <t>10.835.438,00</t>
  </si>
  <si>
    <t>5</t>
  </si>
  <si>
    <t>VENTA DE BIENES Y SERVICIOS</t>
  </si>
  <si>
    <t>613.950.129.278,76</t>
  </si>
  <si>
    <t>628.456.753.528,70</t>
  </si>
  <si>
    <t>-14.506.624.249,94</t>
  </si>
  <si>
    <t>VENTAS DE ESTABLECIMIENTO DE MERCADO</t>
  </si>
  <si>
    <t>946.922.330,00</t>
  </si>
  <si>
    <t>928.658.240,00</t>
  </si>
  <si>
    <t>18.264.090,00</t>
  </si>
  <si>
    <t>07</t>
  </si>
  <si>
    <t>SERVICIOS FINANCIEROS Y SERVICIOS CONEXOS, SERVICIOS INMOBILIARIOS Y SERVICIOS DE LEASING</t>
  </si>
  <si>
    <t>SERVICIOS FINANCIEROS Y SERVICIOS CONEXOS</t>
  </si>
  <si>
    <t>SERVICIOS AUXILIARES A LOS SERVICIOS FINANCIEROS DISTINTOS DE LOS SEGUROS Y LAS PENSIONES</t>
  </si>
  <si>
    <t>VENTAS INCIDENTALES DE ESTABLECIMIENTO NO DE MERCADO</t>
  </si>
  <si>
    <t>613.003.206.948,76</t>
  </si>
  <si>
    <t>627.528.095.288,70</t>
  </si>
  <si>
    <t>-14.524.888.339,94</t>
  </si>
  <si>
    <t>"PRODUCTOS ALIMENTICIOS, BEBIDAS Y TABACO; TEXTILES, PRENDAS DE VESTIR Y PRODUCTOS DE CUERO"</t>
  </si>
  <si>
    <t>511.808.693.792,00</t>
  </si>
  <si>
    <t>521.870.425.864,43</t>
  </si>
  <si>
    <t>-10.061.732.072,43</t>
  </si>
  <si>
    <t>PRODUCTOS DE MOLINERÍA, ALMIDONES Y PRODUCTOS DERIVADOS DEL ALMIDÓN; OTROS PRODUCTOS ALIMENTICIOS</t>
  </si>
  <si>
    <t>4</t>
  </si>
  <si>
    <t>PRODUCTOS DE PANADERÍA</t>
  </si>
  <si>
    <t>747.600,00</t>
  </si>
  <si>
    <t>8</t>
  </si>
  <si>
    <t>PRODUCTOS DEL CAFÉ</t>
  </si>
  <si>
    <t>5.469.000,00</t>
  </si>
  <si>
    <t>9</t>
  </si>
  <si>
    <t>OTROS PRODUCTOS ALIMENTICIOS N.C.P.</t>
  </si>
  <si>
    <t>511.802.477.192,00</t>
  </si>
  <si>
    <t>521.864.209.264,43</t>
  </si>
  <si>
    <t>OTROS BIENES TRANSPORTABLES, (EXCEPTO PRODUCTOS METÁLICOS, MAQUINARIA Y EQUIPO)</t>
  </si>
  <si>
    <t>70.217.715.403,76</t>
  </si>
  <si>
    <t>74.361.385.276,27</t>
  </si>
  <si>
    <t>-4.143.669.872,51</t>
  </si>
  <si>
    <t>PRODUCTOS DE HORNOS DE COQUE; PRODUCTOS DE REFINACIÓN DE PETRÓLEO Y COMBUSTIBLE NUCLEAR</t>
  </si>
  <si>
    <t>ACEITES DE PETRÓLEO O ACEITES OBTENIDOS DE MINERALES BITUMINOSOS (EXCEPTO LOS ACEITES CRUDOS); PREPARADOS N.C.P. QUE CONTENGAN POR LO MENOS 70% DE SU PESO EN ACEITES DE ESOS TIPOS Y CUYOS COMPONENTES BÁSICOS SEAN ESOS ACEITES</t>
  </si>
  <si>
    <t>CONSTRUCCIÓN Y SERVICIOS DE LA CONSTRUCCIÓN</t>
  </si>
  <si>
    <t>2.391.000,00</t>
  </si>
  <si>
    <t>SERVICIOS DE CONSTRUCCIÓN</t>
  </si>
  <si>
    <t>2</t>
  </si>
  <si>
    <t>SERVICIOS GENERALES DE CONSTRUCCIÓN DE OBRAS DE INGENIERÍA CIVIL</t>
  </si>
  <si>
    <t>06</t>
  </si>
  <si>
    <t>"SERVICIOS DE VENTA Y DE DISTRIBUCIÓN; ALOJAMIENTO; SERVICIOS DE SUMINISTRO DE COMIDAS Y BEBIDAS; SERVICIOS DE TRANSPORTE; Y SERVICIOS DE DISTRIBUCIÓN DE ELECTRICIDAD, GAS Y AGUA"</t>
  </si>
  <si>
    <t>29.518.078.549,00</t>
  </si>
  <si>
    <t>29.848.686.351,00</t>
  </si>
  <si>
    <t>-330.607.802,00</t>
  </si>
  <si>
    <t>ALOJAMIENTO; SERVICIOS DE SUMINISTROS DE COMIDAS Y BEBIDAS</t>
  </si>
  <si>
    <t>SERVICIOS DE SUMINISTRO DE COMIDAS</t>
  </si>
  <si>
    <t>243.239.334,00</t>
  </si>
  <si>
    <t>246.495.971,00</t>
  </si>
  <si>
    <t>-3.256.637,00</t>
  </si>
  <si>
    <t>SERVICIOS DE ARRENDAMIENTO O ALQUILER SIN OPERARIO</t>
  </si>
  <si>
    <t>SERVICIOS DE ARRENDAMIENTO SIN OPCIÓN DE COMPRA DE OTROS BIENES</t>
  </si>
  <si>
    <t>08</t>
  </si>
  <si>
    <t>SERVICIOS PRESTADOS A LAS EMPRESAS Y SERVICIOS DE PRODUCCIÓN</t>
  </si>
  <si>
    <t>1.213.088.870,00</t>
  </si>
  <si>
    <t>1.198.710.826,00</t>
  </si>
  <si>
    <t>14.378.044,00</t>
  </si>
  <si>
    <t>SERVICIOS DE SOPORTE</t>
  </si>
  <si>
    <t>8.425.145,00</t>
  </si>
  <si>
    <t>OTROS SERVICIOS AUXILIARES</t>
  </si>
  <si>
    <t xml:space="preserve">SERVICIOS AUXILIARES ESPECIALIZADOS DE OFICINA </t>
  </si>
  <si>
    <t xml:space="preserve">SERVICIOS DE COPIA Y REPRODUCCIÓN </t>
  </si>
  <si>
    <t>OTROS SERVICIOS DE FABRICACIÓN; SERVICIOS DE EDICIÓN, IMPRESIÓN Y REPRODUCCIÓN; SERVICIOS DE RECUPERACIÓN DE MATERIALES</t>
  </si>
  <si>
    <t>1.204.663.725,00</t>
  </si>
  <si>
    <t>1.190.285.681,00</t>
  </si>
  <si>
    <t>SERVICIOS DE EDICIÓN, IMPRESIÓN Y REPRODUCCIÓN</t>
  </si>
  <si>
    <t>22.950.027.181,09</t>
  </si>
  <si>
    <t>22.950.026.726,09</t>
  </si>
  <si>
    <t>455,00</t>
  </si>
  <si>
    <t>1.054.385.970,15</t>
  </si>
  <si>
    <t>RECURSOS DE LA ENTIDAD</t>
  </si>
  <si>
    <t>48.505.420,79</t>
  </si>
  <si>
    <t>DEPÓSITOS</t>
  </si>
  <si>
    <t>INTERESES SOBRE DEPÓSITOS EN INSTITUCIONES FINANCIERAS</t>
  </si>
  <si>
    <t>INTERESES POR PRÉSTAMOS</t>
  </si>
  <si>
    <t>1.005.877.379,36</t>
  </si>
  <si>
    <t>DE PERSONAS NATURALES</t>
  </si>
  <si>
    <t>DE PRESTAMOS DE CONSUMO</t>
  </si>
  <si>
    <t>965.544.665,36</t>
  </si>
  <si>
    <t>DE CREDITOS A LOS EMPLEADOS</t>
  </si>
  <si>
    <t>40.332.714,00</t>
  </si>
  <si>
    <t>RENDIMIENTO RECURSOS TERCEROS</t>
  </si>
  <si>
    <t>3.170,00</t>
  </si>
  <si>
    <t>RENDIMIENTOS DEPOSITOS JUDICIALES</t>
  </si>
  <si>
    <t>09</t>
  </si>
  <si>
    <t>15.245.138.958,45</t>
  </si>
  <si>
    <t>14.216.098.766,57</t>
  </si>
  <si>
    <t>1.029.040.191,88</t>
  </si>
  <si>
    <t>13</t>
  </si>
  <si>
    <t>6.650.502.252,49</t>
  </si>
  <si>
    <t>6.650.501.797,49</t>
  </si>
  <si>
    <t>REINTEGROS</t>
  </si>
  <si>
    <t>194.228.443,00</t>
  </si>
  <si>
    <t>REINTEGROS INCAPACIDADES</t>
  </si>
  <si>
    <t>152.828.235,00</t>
  </si>
  <si>
    <t>REINTEGROS MESADAS PENSIONALES</t>
  </si>
  <si>
    <t>5.165.810,00</t>
  </si>
  <si>
    <t>REINTEGROS GASTOS DE FUNCIONAMIENTO</t>
  </si>
  <si>
    <t>36.234.398,00</t>
  </si>
  <si>
    <t>RECURSOS NO APROPIADOS</t>
  </si>
  <si>
    <t>6.456.273.809,49</t>
  </si>
  <si>
    <t>6.456.273.354,49</t>
  </si>
  <si>
    <t>RECUPERACIONES</t>
  </si>
  <si>
    <t>total de la vigencia</t>
  </si>
  <si>
    <t>sumatoria por meses</t>
  </si>
  <si>
    <t>diferencia</t>
  </si>
  <si>
    <t>PROGRAMACIÓN</t>
  </si>
  <si>
    <t>Fuente de Información: https://portal2.siifnacion.gov.co</t>
  </si>
  <si>
    <t>3-1-01-1-02-03</t>
  </si>
  <si>
    <t>3-1-01-1-02-05</t>
  </si>
  <si>
    <t>3-1-01-2-13-2</t>
  </si>
  <si>
    <t>Elaboro: Adm. Empresas ALONZO ROJAS SANCHEZ</t>
  </si>
  <si>
    <t>Vigencia: desde el 01-01-2022 al 31-07-2022</t>
  </si>
  <si>
    <t>Grupo de Presupuesto  fecha 05-09-2022</t>
  </si>
  <si>
    <t>Revisó y Aprobo: Contadora Publica SAYDA PATRICIA CAVIEDES DIAZ</t>
  </si>
  <si>
    <t>Lider Grupo de Presupuesto y Cartera</t>
  </si>
  <si>
    <t>fecha 05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</si>
</sst>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7"/>
      <color indexed="9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2D77C2"/>
      <name val="Arial"/>
      <family val="2"/>
    </font>
    <font>
      <sz val="9"/>
      <color rgb="FF2D77C2"/>
      <name val="Arial"/>
      <family val="2"/>
    </font>
    <font>
      <b/>
      <sz val="7"/>
      <color rgb="FFFFFFFF"/>
      <name val="Arial Narrow"/>
      <family val="2"/>
    </font>
    <font>
      <sz val="6"/>
      <color rgb="FF000000"/>
      <name val="Arial"/>
      <family val="2"/>
    </font>
    <font>
      <b/>
      <sz val="5"/>
      <color rgb="FFFFFFFF"/>
      <name val="Arial Narrow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70C0"/>
        <bgColor rgb="FF2D77C2"/>
      </patternFill>
    </fill>
    <fill>
      <patternFill patternType="solid">
        <fgColor theme="9" tint="0.59999389629810485"/>
        <bgColor rgb="FF2D77C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2D77C2"/>
      </patternFill>
    </fill>
    <fill>
      <patternFill patternType="solid">
        <fgColor rgb="FF00B0F0"/>
        <bgColor rgb="FF2D77C2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2D77C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9" fontId="9" fillId="0" borderId="0" applyFont="0" applyFill="0" applyBorder="0" applyAlignment="0" applyProtection="0"/>
  </cellStyleXfs>
  <cellXfs count="167">
    <xf numFmtId="0" fontId="0" fillId="0" borderId="0" xfId="0"/>
    <xf numFmtId="43" fontId="2" fillId="0" borderId="0" xfId="1" applyFont="1" applyFill="1" applyBorder="1"/>
    <xf numFmtId="0" fontId="2" fillId="0" borderId="0" xfId="0" applyFont="1" applyFill="1" applyBorder="1"/>
    <xf numFmtId="165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1" fontId="2" fillId="0" borderId="0" xfId="2" applyFont="1" applyFill="1" applyBorder="1"/>
    <xf numFmtId="49" fontId="10" fillId="0" borderId="1" xfId="0" applyNumberFormat="1" applyFont="1" applyFill="1" applyBorder="1" applyAlignment="1">
      <alignment horizontal="left" vertical="center" wrapText="1" indent="3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43" fontId="10" fillId="0" borderId="2" xfId="1" applyFont="1" applyFill="1" applyBorder="1" applyAlignment="1">
      <alignment horizontal="right" vertical="center" wrapText="1" readingOrder="1"/>
    </xf>
    <xf numFmtId="4" fontId="4" fillId="0" borderId="2" xfId="1" applyNumberFormat="1" applyFont="1" applyFill="1" applyBorder="1" applyAlignment="1">
      <alignment horizontal="right" vertical="center"/>
    </xf>
    <xf numFmtId="43" fontId="4" fillId="0" borderId="3" xfId="1" applyFont="1" applyFill="1" applyBorder="1" applyAlignment="1">
      <alignment horizontal="right" vertical="center"/>
    </xf>
    <xf numFmtId="41" fontId="4" fillId="0" borderId="0" xfId="2" applyFont="1" applyFill="1" applyBorder="1"/>
    <xf numFmtId="0" fontId="4" fillId="0" borderId="0" xfId="0" applyFont="1" applyFill="1" applyBorder="1"/>
    <xf numFmtId="49" fontId="10" fillId="0" borderId="4" xfId="0" applyNumberFormat="1" applyFont="1" applyFill="1" applyBorder="1" applyAlignment="1">
      <alignment horizontal="left" vertical="center" wrapText="1" indent="3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43" fontId="10" fillId="0" borderId="5" xfId="1" applyFont="1" applyFill="1" applyBorder="1" applyAlignment="1">
      <alignment horizontal="right" vertical="center" wrapText="1" readingOrder="1"/>
    </xf>
    <xf numFmtId="4" fontId="4" fillId="0" borderId="5" xfId="1" applyNumberFormat="1" applyFont="1" applyFill="1" applyBorder="1" applyAlignment="1">
      <alignment horizontal="right" vertical="center"/>
    </xf>
    <xf numFmtId="43" fontId="4" fillId="0" borderId="6" xfId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4" fontId="4" fillId="0" borderId="7" xfId="1" applyNumberFormat="1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left" vertical="center" wrapText="1" indent="3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43" fontId="10" fillId="0" borderId="7" xfId="1" applyFont="1" applyFill="1" applyBorder="1" applyAlignment="1">
      <alignment horizontal="right" vertical="center" wrapText="1" readingOrder="1"/>
    </xf>
    <xf numFmtId="43" fontId="4" fillId="0" borderId="9" xfId="1" applyFont="1" applyFill="1" applyBorder="1" applyAlignment="1">
      <alignment horizontal="right" vertical="center"/>
    </xf>
    <xf numFmtId="0" fontId="11" fillId="2" borderId="10" xfId="0" applyNumberFormat="1" applyFont="1" applyFill="1" applyBorder="1" applyAlignment="1">
      <alignment horizontal="center" vertical="center" wrapText="1" readingOrder="1"/>
    </xf>
    <xf numFmtId="0" fontId="11" fillId="2" borderId="11" xfId="0" applyNumberFormat="1" applyFont="1" applyFill="1" applyBorder="1" applyAlignment="1">
      <alignment horizontal="center" vertical="center" wrapText="1" readingOrder="1"/>
    </xf>
    <xf numFmtId="0" fontId="11" fillId="2" borderId="12" xfId="0" applyNumberFormat="1" applyFont="1" applyFill="1" applyBorder="1" applyAlignment="1">
      <alignment horizontal="center" vertical="center" wrapText="1" readingOrder="1"/>
    </xf>
    <xf numFmtId="4" fontId="1" fillId="3" borderId="13" xfId="1" applyNumberFormat="1" applyFont="1" applyFill="1" applyBorder="1" applyAlignment="1">
      <alignment horizontal="center" vertical="center" wrapText="1"/>
    </xf>
    <xf numFmtId="165" fontId="1" fillId="3" borderId="11" xfId="1" applyNumberFormat="1" applyFont="1" applyFill="1" applyBorder="1" applyAlignment="1">
      <alignment horizontal="center" vertical="center" wrapText="1"/>
    </xf>
    <xf numFmtId="165" fontId="1" fillId="3" borderId="14" xfId="1" applyNumberFormat="1" applyFont="1" applyFill="1" applyBorder="1" applyAlignment="1">
      <alignment horizontal="center" vertical="center" wrapText="1"/>
    </xf>
    <xf numFmtId="165" fontId="1" fillId="3" borderId="15" xfId="1" applyNumberFormat="1" applyFont="1" applyFill="1" applyBorder="1" applyAlignment="1">
      <alignment horizontal="center" vertical="center" wrapText="1"/>
    </xf>
    <xf numFmtId="165" fontId="1" fillId="3" borderId="12" xfId="1" applyNumberFormat="1" applyFont="1" applyFill="1" applyBorder="1" applyAlignment="1">
      <alignment horizontal="center" vertical="center" wrapText="1"/>
    </xf>
    <xf numFmtId="43" fontId="1" fillId="3" borderId="16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43" fontId="12" fillId="0" borderId="3" xfId="1" applyFont="1" applyFill="1" applyBorder="1" applyAlignment="1">
      <alignment horizontal="right" vertical="center"/>
    </xf>
    <xf numFmtId="4" fontId="13" fillId="0" borderId="39" xfId="0" applyNumberFormat="1" applyFont="1" applyFill="1" applyBorder="1" applyAlignment="1">
      <alignment vertical="top" wrapText="1" readingOrder="1"/>
    </xf>
    <xf numFmtId="0" fontId="13" fillId="0" borderId="40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" fontId="14" fillId="4" borderId="43" xfId="0" applyNumberFormat="1" applyFont="1" applyFill="1" applyBorder="1" applyAlignment="1">
      <alignment vertical="top" wrapText="1" readingOrder="1"/>
    </xf>
    <xf numFmtId="4" fontId="4" fillId="0" borderId="17" xfId="1" applyNumberFormat="1" applyFont="1" applyFill="1" applyBorder="1" applyAlignment="1">
      <alignment horizontal="right" vertical="center"/>
    </xf>
    <xf numFmtId="4" fontId="4" fillId="0" borderId="18" xfId="1" applyNumberFormat="1" applyFont="1" applyFill="1" applyBorder="1" applyAlignment="1">
      <alignment horizontal="right" vertical="center"/>
    </xf>
    <xf numFmtId="4" fontId="4" fillId="0" borderId="19" xfId="1" applyNumberFormat="1" applyFont="1" applyFill="1" applyBorder="1" applyAlignment="1">
      <alignment horizontal="right" vertical="center"/>
    </xf>
    <xf numFmtId="4" fontId="4" fillId="0" borderId="20" xfId="1" applyNumberFormat="1" applyFont="1" applyFill="1" applyBorder="1" applyAlignment="1">
      <alignment horizontal="right" vertical="center"/>
    </xf>
    <xf numFmtId="165" fontId="1" fillId="3" borderId="21" xfId="1" applyNumberFormat="1" applyFont="1" applyFill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9" xfId="1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4" xfId="1" applyNumberFormat="1" applyFont="1" applyFill="1" applyBorder="1" applyAlignment="1">
      <alignment horizontal="right" vertical="center"/>
    </xf>
    <xf numFmtId="43" fontId="1" fillId="3" borderId="21" xfId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vertical="top" wrapText="1" readingOrder="1"/>
    </xf>
    <xf numFmtId="4" fontId="13" fillId="0" borderId="45" xfId="0" applyNumberFormat="1" applyFont="1" applyFill="1" applyBorder="1" applyAlignment="1">
      <alignment vertical="top" wrapText="1" readingOrder="1"/>
    </xf>
    <xf numFmtId="165" fontId="1" fillId="5" borderId="22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right" vertical="center"/>
    </xf>
    <xf numFmtId="4" fontId="4" fillId="4" borderId="3" xfId="1" applyNumberFormat="1" applyFont="1" applyFill="1" applyBorder="1" applyAlignment="1">
      <alignment horizontal="right" vertical="center"/>
    </xf>
    <xf numFmtId="4" fontId="4" fillId="4" borderId="5" xfId="1" applyNumberFormat="1" applyFont="1" applyFill="1" applyBorder="1" applyAlignment="1">
      <alignment horizontal="right" vertical="center"/>
    </xf>
    <xf numFmtId="165" fontId="4" fillId="6" borderId="23" xfId="1" applyNumberFormat="1" applyFont="1" applyFill="1" applyBorder="1" applyAlignment="1">
      <alignment horizontal="center" vertical="center" wrapText="1"/>
    </xf>
    <xf numFmtId="4" fontId="4" fillId="7" borderId="1" xfId="1" applyNumberFormat="1" applyFont="1" applyFill="1" applyBorder="1" applyAlignment="1">
      <alignment horizontal="right" vertical="center"/>
    </xf>
    <xf numFmtId="4" fontId="4" fillId="7" borderId="4" xfId="1" applyNumberFormat="1" applyFont="1" applyFill="1" applyBorder="1" applyAlignment="1">
      <alignment horizontal="right" vertical="center"/>
    </xf>
    <xf numFmtId="165" fontId="1" fillId="6" borderId="24" xfId="1" applyNumberFormat="1" applyFont="1" applyFill="1" applyBorder="1" applyAlignment="1">
      <alignment horizontal="center" vertical="center" wrapText="1"/>
    </xf>
    <xf numFmtId="4" fontId="4" fillId="7" borderId="20" xfId="1" applyNumberFormat="1" applyFont="1" applyFill="1" applyBorder="1" applyAlignment="1">
      <alignment horizontal="right" vertical="center"/>
    </xf>
    <xf numFmtId="4" fontId="4" fillId="7" borderId="25" xfId="1" applyNumberFormat="1" applyFont="1" applyFill="1" applyBorder="1" applyAlignment="1">
      <alignment horizontal="right" vertical="center"/>
    </xf>
    <xf numFmtId="4" fontId="4" fillId="7" borderId="26" xfId="1" applyNumberFormat="1" applyFont="1" applyFill="1" applyBorder="1" applyAlignment="1">
      <alignment horizontal="right" vertical="center"/>
    </xf>
    <xf numFmtId="4" fontId="4" fillId="7" borderId="27" xfId="1" applyNumberFormat="1" applyFont="1" applyFill="1" applyBorder="1" applyAlignment="1">
      <alignment horizontal="right" vertical="center"/>
    </xf>
    <xf numFmtId="4" fontId="4" fillId="7" borderId="28" xfId="1" applyNumberFormat="1" applyFont="1" applyFill="1" applyBorder="1" applyAlignment="1">
      <alignment horizontal="right" vertical="center"/>
    </xf>
    <xf numFmtId="165" fontId="1" fillId="6" borderId="29" xfId="1" applyNumberFormat="1" applyFont="1" applyFill="1" applyBorder="1" applyAlignment="1">
      <alignment horizontal="center" vertical="center" wrapText="1"/>
    </xf>
    <xf numFmtId="4" fontId="4" fillId="7" borderId="8" xfId="1" applyNumberFormat="1" applyFont="1" applyFill="1" applyBorder="1" applyAlignment="1">
      <alignment horizontal="right" vertical="center"/>
    </xf>
    <xf numFmtId="43" fontId="12" fillId="0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6" fillId="0" borderId="0" xfId="3" applyFont="1" applyFill="1" applyBorder="1"/>
    <xf numFmtId="0" fontId="18" fillId="0" borderId="0" xfId="3" applyNumberFormat="1" applyFont="1" applyFill="1" applyBorder="1" applyAlignment="1">
      <alignment vertical="top" wrapText="1" readingOrder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8" fillId="0" borderId="46" xfId="3" applyNumberFormat="1" applyFont="1" applyFill="1" applyBorder="1" applyAlignment="1">
      <alignment vertical="top" wrapText="1" readingOrder="1"/>
    </xf>
    <xf numFmtId="41" fontId="21" fillId="0" borderId="0" xfId="2" applyFont="1" applyFill="1" applyBorder="1"/>
    <xf numFmtId="41" fontId="23" fillId="0" borderId="0" xfId="2" applyFont="1" applyFill="1" applyBorder="1"/>
    <xf numFmtId="4" fontId="21" fillId="0" borderId="7" xfId="1" applyNumberFormat="1" applyFont="1" applyFill="1" applyBorder="1" applyAlignment="1">
      <alignment horizontal="right" vertical="center"/>
    </xf>
    <xf numFmtId="4" fontId="21" fillId="0" borderId="10" xfId="1" applyNumberFormat="1" applyFont="1" applyFill="1" applyBorder="1" applyAlignment="1">
      <alignment horizontal="right" vertical="center"/>
    </xf>
    <xf numFmtId="43" fontId="23" fillId="0" borderId="0" xfId="1" applyFont="1" applyFill="1" applyBorder="1"/>
    <xf numFmtId="9" fontId="23" fillId="0" borderId="0" xfId="4" applyFont="1" applyFill="1" applyBorder="1" applyAlignment="1">
      <alignment horizontal="right" vertical="center"/>
    </xf>
    <xf numFmtId="0" fontId="2" fillId="0" borderId="0" xfId="0" applyFont="1"/>
    <xf numFmtId="0" fontId="21" fillId="0" borderId="0" xfId="0" applyFont="1"/>
    <xf numFmtId="0" fontId="4" fillId="0" borderId="0" xfId="0" applyFont="1"/>
    <xf numFmtId="4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23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6" fillId="0" borderId="0" xfId="0" applyFont="1" applyFill="1" applyBorder="1"/>
    <xf numFmtId="0" fontId="27" fillId="0" borderId="0" xfId="5" applyFill="1" applyBorder="1"/>
    <xf numFmtId="165" fontId="22" fillId="12" borderId="2" xfId="1" applyNumberFormat="1" applyFont="1" applyFill="1" applyBorder="1" applyAlignment="1">
      <alignment horizontal="center" vertical="center" wrapText="1"/>
    </xf>
    <xf numFmtId="165" fontId="22" fillId="12" borderId="2" xfId="1" applyNumberFormat="1" applyFont="1" applyFill="1" applyBorder="1" applyAlignment="1" applyProtection="1">
      <alignment horizontal="center" vertical="center" wrapText="1"/>
    </xf>
    <xf numFmtId="43" fontId="22" fillId="12" borderId="2" xfId="1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left" vertical="center" wrapText="1" readingOrder="1"/>
    </xf>
    <xf numFmtId="4" fontId="21" fillId="11" borderId="2" xfId="1" applyNumberFormat="1" applyFont="1" applyFill="1" applyBorder="1" applyAlignment="1">
      <alignment horizontal="right" vertical="center"/>
    </xf>
    <xf numFmtId="43" fontId="22" fillId="12" borderId="3" xfId="1" applyFont="1" applyFill="1" applyBorder="1" applyAlignment="1">
      <alignment horizontal="center" vertical="center" wrapText="1"/>
    </xf>
    <xf numFmtId="49" fontId="20" fillId="11" borderId="1" xfId="0" applyNumberFormat="1" applyFont="1" applyFill="1" applyBorder="1" applyAlignment="1">
      <alignment horizontal="left" vertical="center" wrapText="1" indent="3" readingOrder="1"/>
    </xf>
    <xf numFmtId="43" fontId="21" fillId="11" borderId="3" xfId="1" applyFont="1" applyFill="1" applyBorder="1" applyAlignment="1">
      <alignment horizontal="right" vertical="center"/>
    </xf>
    <xf numFmtId="49" fontId="20" fillId="11" borderId="4" xfId="0" applyNumberFormat="1" applyFont="1" applyFill="1" applyBorder="1" applyAlignment="1">
      <alignment horizontal="left" vertical="center" wrapText="1" indent="3" readingOrder="1"/>
    </xf>
    <xf numFmtId="0" fontId="20" fillId="11" borderId="5" xfId="0" applyFont="1" applyFill="1" applyBorder="1" applyAlignment="1">
      <alignment horizontal="left" vertical="center" wrapText="1" readingOrder="1"/>
    </xf>
    <xf numFmtId="4" fontId="21" fillId="11" borderId="5" xfId="1" applyNumberFormat="1" applyFont="1" applyFill="1" applyBorder="1" applyAlignment="1">
      <alignment horizontal="right" vertical="center"/>
    </xf>
    <xf numFmtId="43" fontId="21" fillId="11" borderId="6" xfId="1" applyFont="1" applyFill="1" applyBorder="1" applyAlignment="1">
      <alignment horizontal="right" vertical="center"/>
    </xf>
    <xf numFmtId="4" fontId="21" fillId="11" borderId="2" xfId="1" applyNumberFormat="1" applyFont="1" applyFill="1" applyBorder="1" applyAlignment="1">
      <alignment horizontal="right" vertical="center" wrapText="1"/>
    </xf>
    <xf numFmtId="0" fontId="22" fillId="12" borderId="2" xfId="0" applyFont="1" applyFill="1" applyBorder="1" applyAlignment="1">
      <alignment horizontal="center" vertical="center" wrapText="1" readingOrder="1"/>
    </xf>
    <xf numFmtId="41" fontId="2" fillId="0" borderId="0" xfId="8" applyFont="1" applyFill="1" applyBorder="1"/>
    <xf numFmtId="43" fontId="21" fillId="11" borderId="2" xfId="1" applyFont="1" applyFill="1" applyBorder="1" applyAlignment="1">
      <alignment horizontal="right" vertical="center"/>
    </xf>
    <xf numFmtId="43" fontId="21" fillId="11" borderId="5" xfId="1" applyFont="1" applyFill="1" applyBorder="1" applyAlignment="1">
      <alignment horizontal="right" vertical="center"/>
    </xf>
    <xf numFmtId="165" fontId="22" fillId="13" borderId="2" xfId="1" applyNumberFormat="1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right"/>
    </xf>
    <xf numFmtId="0" fontId="23" fillId="14" borderId="0" xfId="0" applyFont="1" applyFill="1" applyAlignment="1">
      <alignment horizontal="right"/>
    </xf>
    <xf numFmtId="0" fontId="2" fillId="14" borderId="0" xfId="0" applyFont="1" applyFill="1" applyAlignment="1">
      <alignment horizontal="right"/>
    </xf>
    <xf numFmtId="0" fontId="2" fillId="14" borderId="0" xfId="0" applyFont="1" applyFill="1" applyBorder="1" applyAlignment="1">
      <alignment horizontal="right"/>
    </xf>
    <xf numFmtId="0" fontId="2" fillId="14" borderId="0" xfId="0" applyFont="1" applyFill="1"/>
    <xf numFmtId="0" fontId="28" fillId="0" borderId="0" xfId="0" applyFont="1"/>
    <xf numFmtId="0" fontId="6" fillId="0" borderId="0" xfId="7" applyFont="1"/>
    <xf numFmtId="0" fontId="13" fillId="0" borderId="46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center"/>
    </xf>
    <xf numFmtId="0" fontId="11" fillId="2" borderId="31" xfId="0" applyNumberFormat="1" applyFont="1" applyFill="1" applyBorder="1" applyAlignment="1">
      <alignment horizontal="center" vertical="center" wrapText="1" readingOrder="1"/>
    </xf>
    <xf numFmtId="0" fontId="11" fillId="2" borderId="30" xfId="0" applyNumberFormat="1" applyFont="1" applyFill="1" applyBorder="1" applyAlignment="1">
      <alignment horizontal="center" vertical="center" wrapText="1" readingOrder="1"/>
    </xf>
    <xf numFmtId="0" fontId="11" fillId="2" borderId="32" xfId="0" applyNumberFormat="1" applyFont="1" applyFill="1" applyBorder="1" applyAlignment="1">
      <alignment horizontal="center" vertical="center" wrapText="1" readingOrder="1"/>
    </xf>
    <xf numFmtId="0" fontId="11" fillId="2" borderId="33" xfId="0" applyNumberFormat="1" applyFont="1" applyFill="1" applyBorder="1" applyAlignment="1">
      <alignment horizontal="center" vertical="center" wrapText="1" readingOrder="1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35" xfId="0" applyNumberFormat="1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horizontal="center" vertical="center"/>
    </xf>
    <xf numFmtId="49" fontId="1" fillId="9" borderId="29" xfId="0" applyNumberFormat="1" applyFont="1" applyFill="1" applyBorder="1" applyAlignment="1">
      <alignment horizontal="center" vertical="center"/>
    </xf>
    <xf numFmtId="49" fontId="1" fillId="9" borderId="37" xfId="0" applyNumberFormat="1" applyFont="1" applyFill="1" applyBorder="1" applyAlignment="1">
      <alignment horizontal="center" vertical="center"/>
    </xf>
    <xf numFmtId="49" fontId="1" fillId="9" borderId="35" xfId="0" applyNumberFormat="1" applyFont="1" applyFill="1" applyBorder="1" applyAlignment="1">
      <alignment horizontal="center" vertical="center"/>
    </xf>
    <xf numFmtId="49" fontId="1" fillId="9" borderId="38" xfId="0" applyNumberFormat="1" applyFont="1" applyFill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5" fillId="0" borderId="47" xfId="0" applyFont="1" applyBorder="1" applyAlignment="1">
      <alignment vertical="top" wrapText="1" readingOrder="1"/>
    </xf>
    <xf numFmtId="0" fontId="23" fillId="0" borderId="45" xfId="0" applyFont="1" applyBorder="1" applyAlignment="1">
      <alignment vertical="top" wrapText="1"/>
    </xf>
    <xf numFmtId="0" fontId="23" fillId="0" borderId="48" xfId="0" applyFont="1" applyBorder="1" applyAlignment="1">
      <alignment vertical="top" wrapText="1"/>
    </xf>
    <xf numFmtId="0" fontId="13" fillId="0" borderId="49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  <xf numFmtId="0" fontId="22" fillId="12" borderId="23" xfId="0" applyFont="1" applyFill="1" applyBorder="1" applyAlignment="1">
      <alignment horizontal="center" vertical="center" wrapText="1" readingOrder="1"/>
    </xf>
    <xf numFmtId="0" fontId="22" fillId="12" borderId="1" xfId="0" applyFont="1" applyFill="1" applyBorder="1" applyAlignment="1">
      <alignment horizontal="center" vertical="center" wrapText="1" readingOrder="1"/>
    </xf>
    <xf numFmtId="0" fontId="22" fillId="12" borderId="22" xfId="0" applyFont="1" applyFill="1" applyBorder="1" applyAlignment="1">
      <alignment horizontal="center" vertical="center" wrapText="1" readingOrder="1"/>
    </xf>
    <xf numFmtId="0" fontId="22" fillId="12" borderId="2" xfId="0" applyFont="1" applyFill="1" applyBorder="1" applyAlignment="1">
      <alignment horizontal="center" vertical="center" wrapText="1" readingOrder="1"/>
    </xf>
    <xf numFmtId="49" fontId="22" fillId="13" borderId="22" xfId="0" applyNumberFormat="1" applyFont="1" applyFill="1" applyBorder="1" applyAlignment="1">
      <alignment horizontal="center" vertical="center"/>
    </xf>
    <xf numFmtId="49" fontId="22" fillId="13" borderId="50" xfId="0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vertical="top" wrapText="1" readingOrder="1"/>
    </xf>
    <xf numFmtId="0" fontId="6" fillId="0" borderId="0" xfId="3" applyFont="1" applyFill="1" applyBorder="1"/>
    <xf numFmtId="0" fontId="18" fillId="0" borderId="46" xfId="3" applyNumberFormat="1" applyFont="1" applyFill="1" applyBorder="1" applyAlignment="1">
      <alignment vertical="top" wrapText="1" readingOrder="1"/>
    </xf>
    <xf numFmtId="0" fontId="6" fillId="0" borderId="42" xfId="3" applyNumberFormat="1" applyFont="1" applyFill="1" applyBorder="1" applyAlignment="1">
      <alignment vertical="top" wrapText="1"/>
    </xf>
    <xf numFmtId="0" fontId="6" fillId="0" borderId="41" xfId="3" applyNumberFormat="1" applyFont="1" applyFill="1" applyBorder="1" applyAlignment="1">
      <alignment vertical="top" wrapText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7" fillId="10" borderId="0" xfId="3" applyNumberFormat="1" applyFont="1" applyFill="1" applyBorder="1" applyAlignment="1">
      <alignment horizontal="left" wrapText="1" readingOrder="1"/>
    </xf>
    <xf numFmtId="0" fontId="13" fillId="0" borderId="0" xfId="3" applyNumberFormat="1" applyFont="1" applyFill="1" applyBorder="1" applyAlignment="1">
      <alignment horizontal="right" vertical="top" wrapText="1" readingOrder="1"/>
    </xf>
    <xf numFmtId="0" fontId="16" fillId="0" borderId="0" xfId="3" applyNumberFormat="1" applyFont="1" applyFill="1" applyBorder="1" applyAlignment="1">
      <alignment vertical="top" wrapText="1" readingOrder="1"/>
    </xf>
    <xf numFmtId="0" fontId="13" fillId="0" borderId="46" xfId="3" applyNumberFormat="1" applyFont="1" applyFill="1" applyBorder="1" applyAlignment="1">
      <alignment vertical="top" wrapText="1" readingOrder="1"/>
    </xf>
    <xf numFmtId="0" fontId="15" fillId="0" borderId="0" xfId="3" applyNumberFormat="1" applyFont="1" applyFill="1" applyBorder="1" applyAlignment="1">
      <alignment horizontal="center" vertical="top" wrapText="1" readingOrder="1"/>
    </xf>
  </cellXfs>
  <cellStyles count="16">
    <cellStyle name="Hipervínculo" xfId="5" builtinId="8"/>
    <cellStyle name="Millares" xfId="1" builtinId="3"/>
    <cellStyle name="Millares [0]" xfId="2" builtinId="6"/>
    <cellStyle name="Millares [0] 2" xfId="8" xr:uid="{00000000-0005-0000-0000-000003000000}"/>
    <cellStyle name="Millares [0] 3" xfId="9" xr:uid="{00000000-0005-0000-0000-000004000000}"/>
    <cellStyle name="Millares 2" xfId="6" xr:uid="{00000000-0005-0000-0000-000005000000}"/>
    <cellStyle name="Millares 2 2 2" xfId="10" xr:uid="{00000000-0005-0000-0000-000006000000}"/>
    <cellStyle name="Millares 3" xfId="11" xr:uid="{00000000-0005-0000-0000-000007000000}"/>
    <cellStyle name="Normal" xfId="0" builtinId="0"/>
    <cellStyle name="Normal 2" xfId="7" xr:uid="{00000000-0005-0000-0000-000009000000}"/>
    <cellStyle name="Normal 2 2" xfId="12" xr:uid="{00000000-0005-0000-0000-00000A000000}"/>
    <cellStyle name="Normal 2 2 2 2 2 2" xfId="13" xr:uid="{00000000-0005-0000-0000-00000B000000}"/>
    <cellStyle name="Normal 2 4" xfId="14" xr:uid="{00000000-0005-0000-0000-00000C000000}"/>
    <cellStyle name="Normal 3" xfId="3" xr:uid="{00000000-0005-0000-0000-00000D000000}"/>
    <cellStyle name="Porcentaje" xfId="4" builtinId="5"/>
    <cellStyle name="Porcentaje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1100870</xdr:colOff>
      <xdr:row>0</xdr:row>
      <xdr:rowOff>143790</xdr:rowOff>
    </xdr:from>
    <xdr:to>
      <xdr:col>8</xdr:col>
      <xdr:colOff>731865</xdr:colOff>
      <xdr:row>3</xdr:row>
      <xdr:rowOff>221754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F0E02C18-C69F-408A-A180-41BFBEB81DD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952043" y="143790"/>
          <a:ext cx="993803" cy="65679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12</xdr:col>
      <xdr:colOff>1149405</xdr:colOff>
      <xdr:row>0</xdr:row>
      <xdr:rowOff>95983</xdr:rowOff>
    </xdr:from>
    <xdr:to>
      <xdr:col>13</xdr:col>
      <xdr:colOff>533490</xdr:colOff>
      <xdr:row>3</xdr:row>
      <xdr:rowOff>262981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6000FC64-90DD-47A1-A529-6EA36A029A3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665630" y="95983"/>
          <a:ext cx="803310" cy="748023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180975</xdr:colOff>
      <xdr:row>8</xdr:row>
      <xdr:rowOff>47625</xdr:rowOff>
    </xdr:to>
    <xdr:pic>
      <xdr:nvPicPr>
        <xdr:cNvPr id="4098" name="Picture 1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800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0"/>
  <sheetViews>
    <sheetView showGridLines="0" topLeftCell="K1" zoomScale="70" zoomScaleNormal="70" workbookViewId="0">
      <selection activeCell="O22" sqref="O22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8" width="20.42578125" style="2" bestFit="1" customWidth="1"/>
    <col min="9" max="10" width="20.42578125" style="2" customWidth="1"/>
    <col min="11" max="11" width="20.42578125" style="2" bestFit="1" customWidth="1"/>
    <col min="12" max="12" width="22.85546875" style="2" customWidth="1"/>
    <col min="13" max="13" width="20.42578125" style="2" customWidth="1"/>
    <col min="14" max="14" width="20.42578125" style="2" bestFit="1" customWidth="1"/>
    <col min="15" max="15" width="23.28515625" style="2" customWidth="1"/>
    <col min="16" max="17" width="20.42578125" style="2" customWidth="1"/>
    <col min="18" max="19" width="22.42578125" style="2" customWidth="1"/>
    <col min="20" max="20" width="24.28515625" style="1" bestFit="1" customWidth="1"/>
    <col min="21" max="21" width="23.28515625" style="1" bestFit="1" customWidth="1"/>
    <col min="22" max="22" width="18.42578125" style="7" bestFit="1" customWidth="1"/>
    <col min="23" max="23" width="17.140625" style="2" bestFit="1" customWidth="1"/>
    <col min="24" max="16384" width="11.42578125" style="2"/>
  </cols>
  <sheetData>
    <row r="2" spans="2:23" ht="15.75" x14ac:dyDescent="0.2"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</row>
    <row r="3" spans="2:23" ht="15.75" x14ac:dyDescent="0.2">
      <c r="B3" s="129" t="s">
        <v>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</row>
    <row r="4" spans="2:23" ht="16.5" thickBot="1" x14ac:dyDescent="0.25">
      <c r="B4" s="129" t="s">
        <v>31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</row>
    <row r="5" spans="2:23" s="14" customFormat="1" ht="16.5" thickBot="1" x14ac:dyDescent="0.25">
      <c r="B5" s="130" t="s">
        <v>2</v>
      </c>
      <c r="C5" s="132" t="s">
        <v>3</v>
      </c>
      <c r="D5" s="134" t="s">
        <v>4</v>
      </c>
      <c r="E5" s="135"/>
      <c r="F5" s="136"/>
      <c r="G5" s="137" t="s">
        <v>5</v>
      </c>
      <c r="H5" s="138"/>
      <c r="I5" s="138"/>
      <c r="J5" s="138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40"/>
      <c r="V5" s="13"/>
    </row>
    <row r="6" spans="2:23" s="14" customFormat="1" ht="48" thickBot="1" x14ac:dyDescent="0.25">
      <c r="B6" s="131"/>
      <c r="C6" s="133"/>
      <c r="D6" s="27" t="s">
        <v>6</v>
      </c>
      <c r="E6" s="26" t="s">
        <v>7</v>
      </c>
      <c r="F6" s="28" t="s">
        <v>8</v>
      </c>
      <c r="G6" s="29" t="s">
        <v>9</v>
      </c>
      <c r="H6" s="60" t="s">
        <v>36</v>
      </c>
      <c r="I6" s="56" t="s">
        <v>33</v>
      </c>
      <c r="J6" s="29" t="s">
        <v>34</v>
      </c>
      <c r="K6" s="63" t="s">
        <v>37</v>
      </c>
      <c r="L6" s="56" t="s">
        <v>33</v>
      </c>
      <c r="M6" s="48" t="s">
        <v>32</v>
      </c>
      <c r="N6" s="63" t="s">
        <v>38</v>
      </c>
      <c r="O6" s="56" t="s">
        <v>33</v>
      </c>
      <c r="P6" s="48" t="s">
        <v>32</v>
      </c>
      <c r="Q6" s="69" t="s">
        <v>39</v>
      </c>
      <c r="R6" s="56" t="s">
        <v>33</v>
      </c>
      <c r="S6" s="48" t="s">
        <v>32</v>
      </c>
      <c r="T6" s="53" t="s">
        <v>11</v>
      </c>
      <c r="U6" s="34" t="s">
        <v>12</v>
      </c>
      <c r="V6" s="13"/>
    </row>
    <row r="7" spans="2:23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44">
        <v>38374299298.110001</v>
      </c>
      <c r="H7" s="61">
        <v>43093227756.860001</v>
      </c>
      <c r="I7" s="57">
        <v>81467527054.970001</v>
      </c>
      <c r="J7" s="58">
        <f>+I7-G7</f>
        <v>43093227756.860001</v>
      </c>
      <c r="K7" s="64">
        <v>66646409194</v>
      </c>
      <c r="L7" s="21">
        <v>148113936248.97</v>
      </c>
      <c r="M7" s="50">
        <f>+L7-G7-J7</f>
        <v>66646409194</v>
      </c>
      <c r="N7" s="67">
        <v>57820008570.170029</v>
      </c>
      <c r="O7" s="49">
        <v>205938243577.31</v>
      </c>
      <c r="P7" s="50">
        <f>+O7-G7-J7-M7</f>
        <v>57824307328.340012</v>
      </c>
      <c r="Q7" s="70">
        <f t="shared" ref="Q7:Q15" si="0">+R7-G7-H7-K7-N7</f>
        <v>50784611730.889969</v>
      </c>
      <c r="R7" s="21">
        <v>256718556550.03</v>
      </c>
      <c r="S7" s="50">
        <f>+R7-G7-J7-M7-P7</f>
        <v>50780312972.719986</v>
      </c>
      <c r="T7" s="47">
        <f>+G7+J7+M7+P7+S7</f>
        <v>256718556550.02997</v>
      </c>
      <c r="U7" s="25">
        <f>+F7-T7</f>
        <v>263590443449.97003</v>
      </c>
      <c r="V7" s="7"/>
      <c r="W7" s="3"/>
    </row>
    <row r="8" spans="2:23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45">
        <v>38374299298.110001</v>
      </c>
      <c r="H8" s="61">
        <v>43093227756.860001</v>
      </c>
      <c r="I8" s="57">
        <v>81467527054.970001</v>
      </c>
      <c r="J8" s="58">
        <f t="shared" ref="J8:J15" si="1">+I8-G8</f>
        <v>43093227756.860001</v>
      </c>
      <c r="K8" s="65">
        <v>66646409194.01001</v>
      </c>
      <c r="L8" s="21">
        <v>148113936248.97</v>
      </c>
      <c r="M8" s="50">
        <f t="shared" ref="M8:M15" si="2">+L8-G8-J8</f>
        <v>66646409194</v>
      </c>
      <c r="N8" s="68">
        <v>57820008570.160019</v>
      </c>
      <c r="O8" s="49">
        <v>205938243577.31</v>
      </c>
      <c r="P8" s="50">
        <f t="shared" ref="P8:P15" si="3">+O8-G8-J8-M8</f>
        <v>57824307328.340012</v>
      </c>
      <c r="Q8" s="61">
        <f t="shared" si="0"/>
        <v>50784611730.889969</v>
      </c>
      <c r="R8" s="11">
        <v>256718556550.03</v>
      </c>
      <c r="S8" s="50">
        <f t="shared" ref="S8:S15" si="4">+R8-G8-J8-M8-P8</f>
        <v>50780312972.719986</v>
      </c>
      <c r="T8" s="47">
        <f t="shared" ref="T8:T15" si="5">+G8+J8+M8+P8+S8</f>
        <v>256718556550.02997</v>
      </c>
      <c r="U8" s="25">
        <f t="shared" ref="U8:U15" si="6">+F8-T8</f>
        <v>263590443449.97003</v>
      </c>
      <c r="V8" s="7"/>
      <c r="W8" s="3"/>
    </row>
    <row r="9" spans="2:23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45">
        <v>38374299298.110001</v>
      </c>
      <c r="H9" s="61">
        <v>43093227756.860001</v>
      </c>
      <c r="I9" s="57">
        <v>81467527054.970001</v>
      </c>
      <c r="J9" s="58">
        <f t="shared" si="1"/>
        <v>43093227756.860001</v>
      </c>
      <c r="K9" s="65">
        <v>66646409194.01001</v>
      </c>
      <c r="L9" s="21">
        <v>148113936248.97</v>
      </c>
      <c r="M9" s="50">
        <f t="shared" si="2"/>
        <v>66646409194</v>
      </c>
      <c r="N9" s="68">
        <v>57820008570.160004</v>
      </c>
      <c r="O9" s="49">
        <v>205938243577.31</v>
      </c>
      <c r="P9" s="50">
        <f t="shared" si="3"/>
        <v>57824307328.340012</v>
      </c>
      <c r="Q9" s="61">
        <f t="shared" si="0"/>
        <v>50784611730.889984</v>
      </c>
      <c r="R9" s="11">
        <v>256718556550.03</v>
      </c>
      <c r="S9" s="50">
        <f t="shared" si="4"/>
        <v>50780312972.719986</v>
      </c>
      <c r="T9" s="47">
        <f t="shared" si="5"/>
        <v>256718556550.02997</v>
      </c>
      <c r="U9" s="25">
        <f t="shared" si="6"/>
        <v>263590443449.97003</v>
      </c>
      <c r="V9" s="7"/>
      <c r="W9" s="3"/>
    </row>
    <row r="10" spans="2:23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45">
        <v>36744835615</v>
      </c>
      <c r="H10" s="61">
        <v>41160711067.960007</v>
      </c>
      <c r="I10" s="57">
        <v>77905546682.960007</v>
      </c>
      <c r="J10" s="58">
        <f t="shared" si="1"/>
        <v>41160711067.960007</v>
      </c>
      <c r="K10" s="65">
        <v>65394744393.069992</v>
      </c>
      <c r="L10" s="11">
        <v>143300291076.03</v>
      </c>
      <c r="M10" s="50">
        <f t="shared" si="2"/>
        <v>65394744393.069992</v>
      </c>
      <c r="N10" s="68">
        <v>56251742990.559998</v>
      </c>
      <c r="O10" s="51">
        <v>199554534066.59</v>
      </c>
      <c r="P10" s="50">
        <f t="shared" si="3"/>
        <v>56254242990.559998</v>
      </c>
      <c r="Q10" s="61">
        <f t="shared" si="0"/>
        <v>49578972196.719986</v>
      </c>
      <c r="R10" s="11">
        <v>249131006263.31</v>
      </c>
      <c r="S10" s="50">
        <f t="shared" si="4"/>
        <v>49576472196.719986</v>
      </c>
      <c r="T10" s="47">
        <f t="shared" si="5"/>
        <v>249131006263.31</v>
      </c>
      <c r="U10" s="25">
        <f t="shared" si="6"/>
        <v>263348122164.15997</v>
      </c>
      <c r="V10" s="7"/>
      <c r="W10" s="3"/>
    </row>
    <row r="11" spans="2:23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45">
        <v>36744835615</v>
      </c>
      <c r="H11" s="61">
        <v>41160711067.960007</v>
      </c>
      <c r="I11" s="57">
        <v>77905546682.960007</v>
      </c>
      <c r="J11" s="58">
        <f t="shared" si="1"/>
        <v>41160711067.960007</v>
      </c>
      <c r="K11" s="65">
        <v>65394744393.069992</v>
      </c>
      <c r="L11" s="11">
        <v>143300291076.03</v>
      </c>
      <c r="M11" s="50">
        <f t="shared" si="2"/>
        <v>65394744393.069992</v>
      </c>
      <c r="N11" s="68">
        <v>56251742990.559998</v>
      </c>
      <c r="O11" s="51">
        <v>199554534066.59</v>
      </c>
      <c r="P11" s="50">
        <f t="shared" si="3"/>
        <v>56254242990.559998</v>
      </c>
      <c r="Q11" s="61">
        <f t="shared" si="0"/>
        <v>49578972196.719986</v>
      </c>
      <c r="R11" s="11">
        <v>249131006263.31</v>
      </c>
      <c r="S11" s="50">
        <f t="shared" si="4"/>
        <v>49576472196.719986</v>
      </c>
      <c r="T11" s="47">
        <f t="shared" si="5"/>
        <v>249131006263.31</v>
      </c>
      <c r="U11" s="25">
        <f t="shared" si="6"/>
        <v>263348122164.15997</v>
      </c>
      <c r="V11" s="7"/>
      <c r="W11" s="3"/>
    </row>
    <row r="12" spans="2:23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45">
        <v>1629463683.1099999</v>
      </c>
      <c r="H12" s="61">
        <v>1932516688.9000003</v>
      </c>
      <c r="I12" s="57">
        <v>3561980372.0100002</v>
      </c>
      <c r="J12" s="58">
        <f t="shared" si="1"/>
        <v>1932516688.9000003</v>
      </c>
      <c r="K12" s="65">
        <v>1251664800.9299991</v>
      </c>
      <c r="L12" s="11">
        <v>4813645172.9399996</v>
      </c>
      <c r="M12" s="50">
        <f t="shared" si="2"/>
        <v>1251664800.9299996</v>
      </c>
      <c r="N12" s="68">
        <v>1568265579.6100008</v>
      </c>
      <c r="O12" s="51">
        <v>6383709510.7200003</v>
      </c>
      <c r="P12" s="50">
        <f t="shared" si="3"/>
        <v>1570064337.7800004</v>
      </c>
      <c r="Q12" s="61">
        <f t="shared" si="0"/>
        <v>1205639534.1699998</v>
      </c>
      <c r="R12" s="11">
        <v>7587550286.7200003</v>
      </c>
      <c r="S12" s="50">
        <f t="shared" si="4"/>
        <v>1203840776.0000002</v>
      </c>
      <c r="T12" s="47">
        <f t="shared" si="5"/>
        <v>7587550286.7200003</v>
      </c>
      <c r="U12" s="25">
        <f t="shared" si="6"/>
        <v>242321285.81000042</v>
      </c>
      <c r="V12" s="7"/>
      <c r="W12" s="3"/>
    </row>
    <row r="13" spans="2:23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45">
        <v>8434697.6199999992</v>
      </c>
      <c r="H13" s="61">
        <v>149260922.88999999</v>
      </c>
      <c r="I13" s="57">
        <v>157695620.50999999</v>
      </c>
      <c r="J13" s="58">
        <f t="shared" si="1"/>
        <v>149260922.88999999</v>
      </c>
      <c r="K13" s="65">
        <v>78398824.469999999</v>
      </c>
      <c r="L13" s="11">
        <v>236094444.97999999</v>
      </c>
      <c r="M13" s="50">
        <f t="shared" si="2"/>
        <v>78398824.469999999</v>
      </c>
      <c r="N13" s="68">
        <v>133128726.60999998</v>
      </c>
      <c r="O13" s="51">
        <v>369226004.75999999</v>
      </c>
      <c r="P13" s="50">
        <f t="shared" si="3"/>
        <v>133131559.78</v>
      </c>
      <c r="Q13" s="61">
        <f t="shared" si="0"/>
        <v>103207489.17000002</v>
      </c>
      <c r="R13" s="11">
        <v>472430660.75999999</v>
      </c>
      <c r="S13" s="50">
        <f t="shared" si="4"/>
        <v>103204656</v>
      </c>
      <c r="T13" s="47">
        <f t="shared" si="5"/>
        <v>472430660.75999999</v>
      </c>
      <c r="U13" s="25">
        <f t="shared" si="6"/>
        <v>190732126.82999992</v>
      </c>
      <c r="V13" s="7"/>
      <c r="W13" s="3"/>
    </row>
    <row r="14" spans="2:23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45">
        <v>1590913126.49</v>
      </c>
      <c r="H14" s="61">
        <v>1649441147.6299999</v>
      </c>
      <c r="I14" s="57">
        <v>3240354274.1199999</v>
      </c>
      <c r="J14" s="58">
        <f t="shared" si="1"/>
        <v>1649441147.6299999</v>
      </c>
      <c r="K14" s="65">
        <v>1160730797.9999998</v>
      </c>
      <c r="L14" s="11">
        <v>4401085072.1199999</v>
      </c>
      <c r="M14" s="50">
        <f t="shared" si="2"/>
        <v>1160730798.0000002</v>
      </c>
      <c r="N14" s="68">
        <v>1420749748.0000002</v>
      </c>
      <c r="O14" s="51">
        <v>5822012731.1199999</v>
      </c>
      <c r="P14" s="50">
        <f t="shared" si="3"/>
        <v>1420927658.9999998</v>
      </c>
      <c r="Q14" s="61">
        <f t="shared" si="0"/>
        <v>1092787203.9999998</v>
      </c>
      <c r="R14" s="11">
        <v>6914622024.1199999</v>
      </c>
      <c r="S14" s="50">
        <f t="shared" si="4"/>
        <v>1092609293.0000002</v>
      </c>
      <c r="T14" s="47">
        <f t="shared" si="5"/>
        <v>6914622024.1199999</v>
      </c>
      <c r="U14" s="71">
        <f t="shared" si="6"/>
        <v>-208634817.0199995</v>
      </c>
      <c r="V14" s="7"/>
      <c r="W14" s="3"/>
    </row>
    <row r="15" spans="2:23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46">
        <v>30115859</v>
      </c>
      <c r="H15" s="62">
        <v>133814618.38</v>
      </c>
      <c r="I15" s="59">
        <v>163930477.38</v>
      </c>
      <c r="J15" s="58">
        <f t="shared" si="1"/>
        <v>133814618.38</v>
      </c>
      <c r="K15" s="66">
        <v>12535178.460000008</v>
      </c>
      <c r="L15" s="18">
        <v>176465655.84</v>
      </c>
      <c r="M15" s="50">
        <f t="shared" si="2"/>
        <v>12535178.460000008</v>
      </c>
      <c r="N15" s="68">
        <v>14387105</v>
      </c>
      <c r="O15" s="52">
        <v>192470774.84</v>
      </c>
      <c r="P15" s="50">
        <f t="shared" si="3"/>
        <v>16005119</v>
      </c>
      <c r="Q15" s="62">
        <f t="shared" si="0"/>
        <v>9644841</v>
      </c>
      <c r="R15" s="18">
        <v>200497601.84</v>
      </c>
      <c r="S15" s="50">
        <f t="shared" si="4"/>
        <v>8026827</v>
      </c>
      <c r="T15" s="47">
        <f t="shared" si="5"/>
        <v>200497601.84</v>
      </c>
      <c r="U15" s="25">
        <f t="shared" si="6"/>
        <v>260223976.00000003</v>
      </c>
      <c r="W15" s="3"/>
    </row>
    <row r="16" spans="2:23" x14ac:dyDescent="0.2">
      <c r="H16" s="54">
        <f>SUM(H7:H15)</f>
        <v>215466138784.30002</v>
      </c>
      <c r="I16" s="55">
        <f>+H16-J16</f>
        <v>0</v>
      </c>
      <c r="J16" s="54">
        <f>SUM(J7:J15)</f>
        <v>215466138784.30002</v>
      </c>
      <c r="K16" s="38">
        <f>SUM(K7:K15)</f>
        <v>333232045970.02002</v>
      </c>
      <c r="L16" s="43">
        <f>+K16-M16</f>
        <v>2.001953125E-2</v>
      </c>
      <c r="M16" s="38">
        <f>SUM(M7:M15)</f>
        <v>333232045970</v>
      </c>
      <c r="N16" s="38">
        <f>SUM(N7:N15)</f>
        <v>289100042850.83002</v>
      </c>
      <c r="O16" s="43">
        <f>+N16-P16</f>
        <v>-21493790.870056152</v>
      </c>
      <c r="P16" s="38">
        <f>SUM(P7:P15)</f>
        <v>289121536641.70007</v>
      </c>
      <c r="Q16" s="36"/>
    </row>
    <row r="17" spans="8:17" x14ac:dyDescent="0.2">
      <c r="H17" s="39"/>
      <c r="I17" s="40"/>
      <c r="J17" s="40"/>
      <c r="K17" s="41"/>
      <c r="L17" s="41"/>
      <c r="M17" s="41"/>
      <c r="N17" s="42"/>
      <c r="O17" s="36"/>
      <c r="P17" s="36"/>
      <c r="Q17" s="36"/>
    </row>
    <row r="18" spans="8:17" x14ac:dyDescent="0.2">
      <c r="H18" s="125"/>
      <c r="I18" s="126"/>
      <c r="J18" s="126"/>
      <c r="K18" s="127"/>
      <c r="L18" s="127"/>
      <c r="M18" s="127"/>
      <c r="N18" s="128"/>
      <c r="O18" s="36"/>
      <c r="P18" s="36"/>
      <c r="Q18" s="36"/>
    </row>
    <row r="19" spans="8:17" x14ac:dyDescent="0.2">
      <c r="N19" s="20"/>
      <c r="O19" s="20"/>
      <c r="P19" s="20"/>
    </row>
    <row r="20" spans="8:17" x14ac:dyDescent="0.2">
      <c r="K20" s="20"/>
      <c r="L20" s="20"/>
      <c r="M20" s="20"/>
    </row>
  </sheetData>
  <mergeCells count="8">
    <mergeCell ref="H18:N18"/>
    <mergeCell ref="B2:U2"/>
    <mergeCell ref="B3:U3"/>
    <mergeCell ref="B4:U4"/>
    <mergeCell ref="B5:B6"/>
    <mergeCell ref="C5:C6"/>
    <mergeCell ref="D5:F5"/>
    <mergeCell ref="G5: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28"/>
  <sheetViews>
    <sheetView showGridLines="0" tabSelected="1" view="pageBreakPreview" topLeftCell="G1" zoomScale="80" zoomScaleNormal="80" zoomScaleSheetLayoutView="80" workbookViewId="0">
      <selection activeCell="G8" sqref="G8:O8"/>
    </sheetView>
  </sheetViews>
  <sheetFormatPr baseColWidth="10" defaultRowHeight="14.25" x14ac:dyDescent="0.2"/>
  <cols>
    <col min="1" max="1" width="6.140625" style="85" customWidth="1"/>
    <col min="2" max="2" width="21.28515625" style="96" customWidth="1"/>
    <col min="3" max="3" width="13.28515625" style="85" customWidth="1"/>
    <col min="4" max="6" width="22.140625" style="97" customWidth="1"/>
    <col min="7" max="7" width="22.28515625" style="118" customWidth="1"/>
    <col min="8" max="9" width="20.42578125" style="85" customWidth="1"/>
    <col min="10" max="10" width="20.7109375" style="85" customWidth="1"/>
    <col min="11" max="11" width="20.42578125" style="85" customWidth="1"/>
    <col min="12" max="17" width="21.28515625" style="85" customWidth="1"/>
    <col min="18" max="18" width="23.28515625" style="85" customWidth="1"/>
    <col min="19" max="19" width="27.28515625" style="1" customWidth="1"/>
    <col min="20" max="20" width="23.28515625" style="1" customWidth="1"/>
    <col min="21" max="21" width="18.42578125" style="7" hidden="1" customWidth="1"/>
    <col min="22" max="22" width="21.42578125" style="85" hidden="1" customWidth="1"/>
    <col min="23" max="23" width="20.85546875" style="85" hidden="1" customWidth="1"/>
    <col min="24" max="24" width="18.140625" style="85" hidden="1" customWidth="1"/>
    <col min="25" max="25" width="18.5703125" style="85" hidden="1" customWidth="1"/>
    <col min="26" max="26" width="11.42578125" style="85" hidden="1" customWidth="1"/>
    <col min="27" max="28" width="0" style="85" hidden="1" customWidth="1"/>
    <col min="29" max="16384" width="11.42578125" style="85"/>
  </cols>
  <sheetData>
    <row r="1" spans="2:30" x14ac:dyDescent="0.2">
      <c r="G1" s="120"/>
    </row>
    <row r="2" spans="2:30" ht="15.75" customHeight="1" x14ac:dyDescent="0.2"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</row>
    <row r="3" spans="2:30" ht="15.75" customHeight="1" x14ac:dyDescent="0.2">
      <c r="B3" s="142" t="s">
        <v>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4" spans="2:30" ht="27" customHeight="1" thickBot="1" x14ac:dyDescent="0.25">
      <c r="B4" s="141" t="s">
        <v>248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</row>
    <row r="5" spans="2:30" s="87" customFormat="1" ht="15.75" x14ac:dyDescent="0.25">
      <c r="B5" s="148" t="s">
        <v>2</v>
      </c>
      <c r="C5" s="150" t="s">
        <v>3</v>
      </c>
      <c r="D5" s="152" t="s">
        <v>242</v>
      </c>
      <c r="E5" s="152"/>
      <c r="F5" s="152"/>
      <c r="G5" s="152" t="s">
        <v>44</v>
      </c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3"/>
      <c r="U5" s="79"/>
      <c r="V5" s="86"/>
      <c r="W5" s="86"/>
      <c r="X5" s="86"/>
      <c r="Y5" s="86"/>
      <c r="Z5" s="86"/>
      <c r="AA5" s="86"/>
      <c r="AB5" s="86"/>
      <c r="AC5" s="86"/>
      <c r="AD5" s="86"/>
    </row>
    <row r="6" spans="2:30" s="87" customFormat="1" ht="51.75" customHeight="1" x14ac:dyDescent="0.25">
      <c r="B6" s="149"/>
      <c r="C6" s="151"/>
      <c r="D6" s="113" t="s">
        <v>6</v>
      </c>
      <c r="E6" s="113" t="s">
        <v>7</v>
      </c>
      <c r="F6" s="113" t="s">
        <v>8</v>
      </c>
      <c r="G6" s="117" t="s">
        <v>9</v>
      </c>
      <c r="H6" s="100" t="s">
        <v>10</v>
      </c>
      <c r="I6" s="100" t="s">
        <v>28</v>
      </c>
      <c r="J6" s="100" t="s">
        <v>29</v>
      </c>
      <c r="K6" s="100" t="s">
        <v>30</v>
      </c>
      <c r="L6" s="100" t="s">
        <v>40</v>
      </c>
      <c r="M6" s="100" t="s">
        <v>41</v>
      </c>
      <c r="N6" s="100" t="s">
        <v>42</v>
      </c>
      <c r="O6" s="100" t="s">
        <v>43</v>
      </c>
      <c r="P6" s="101" t="s">
        <v>45</v>
      </c>
      <c r="Q6" s="101" t="s">
        <v>46</v>
      </c>
      <c r="R6" s="101" t="s">
        <v>47</v>
      </c>
      <c r="S6" s="102" t="s">
        <v>11</v>
      </c>
      <c r="T6" s="105" t="s">
        <v>12</v>
      </c>
      <c r="U6" s="79" t="s">
        <v>239</v>
      </c>
      <c r="V6" s="86"/>
      <c r="W6" s="86"/>
      <c r="X6" s="86"/>
      <c r="Y6" s="86" t="s">
        <v>240</v>
      </c>
      <c r="Z6" s="86" t="s">
        <v>241</v>
      </c>
      <c r="AA6" s="86"/>
      <c r="AB6" s="86"/>
      <c r="AC6" s="86"/>
      <c r="AD6" s="86"/>
    </row>
    <row r="7" spans="2:30" s="91" customFormat="1" ht="94.5" x14ac:dyDescent="0.2">
      <c r="B7" s="106" t="s">
        <v>103</v>
      </c>
      <c r="C7" s="103" t="s">
        <v>13</v>
      </c>
      <c r="D7" s="104">
        <v>427000253857</v>
      </c>
      <c r="E7" s="104"/>
      <c r="F7" s="104">
        <f>+D7+E7</f>
        <v>427000253857</v>
      </c>
      <c r="G7" s="104">
        <v>39864600128.839996</v>
      </c>
      <c r="H7" s="104">
        <f>112974614818.94-G7</f>
        <v>73110014690.100006</v>
      </c>
      <c r="I7" s="104">
        <f>162887926520.82-G7-H7</f>
        <v>49913311701.880005</v>
      </c>
      <c r="J7" s="104">
        <f>237825007062.26-G7-H7-I7</f>
        <v>74937080541.440002</v>
      </c>
      <c r="K7" s="104">
        <f>341976625179.74-G7-H7-I7-J7</f>
        <v>104151618117.48001</v>
      </c>
      <c r="L7" s="104">
        <f>403527578788.25-G7-H7-I7-J7-K7</f>
        <v>61550953608.51004</v>
      </c>
      <c r="M7" s="104">
        <f>450355007261.39-G7-H7-I7-J7-K7-L7</f>
        <v>46827428473.140015</v>
      </c>
      <c r="N7" s="115">
        <f>552782801335.09-G7-H7-I7-J7-K7-L7-M7</f>
        <v>102427794073.69995</v>
      </c>
      <c r="O7" s="104">
        <f>623929960472.57-G7-H7-I7-J7-K7-L7-M7-N7</f>
        <v>71147159137.47995</v>
      </c>
      <c r="P7" s="104">
        <f>654851830420.49-G7-H7-I7-J7-K7-L7-M7-N7-O7</f>
        <v>30921869947.920044</v>
      </c>
      <c r="Q7" s="104">
        <f>742678250063.57-G7-H7-I7-J7-K7-L7-M7-N7-O7-P7</f>
        <v>87826419643.079987</v>
      </c>
      <c r="R7" s="104">
        <f>834499054595.77-G7-H7-I7-J7-K7-L7-M7-N7-O7-P7-Q7</f>
        <v>91820804532.200073</v>
      </c>
      <c r="S7" s="104">
        <f>SUM(G7:R7)</f>
        <v>834499054595.77002</v>
      </c>
      <c r="T7" s="107">
        <f t="shared" ref="T7:T17" si="0">+F7-S7</f>
        <v>-407498800738.77002</v>
      </c>
      <c r="U7" s="80">
        <v>651708636856.79004</v>
      </c>
      <c r="V7" s="81">
        <v>404673420802.85999</v>
      </c>
      <c r="W7" s="88">
        <v>459464403631.72998</v>
      </c>
      <c r="X7" s="88">
        <f>+W7-V7</f>
        <v>54790982828.869995</v>
      </c>
      <c r="Y7" s="88">
        <f>+G7+H7+I7+J7+K7+L7+M7+N7+O7+P7+Q7+R7</f>
        <v>834499054595.77002</v>
      </c>
      <c r="Z7" s="88">
        <f>+U7-Y7</f>
        <v>-182790417738.97998</v>
      </c>
      <c r="AA7" s="89"/>
      <c r="AB7" s="89"/>
      <c r="AC7" s="84"/>
      <c r="AD7" s="90"/>
    </row>
    <row r="8" spans="2:30" s="91" customFormat="1" ht="94.5" x14ac:dyDescent="0.2">
      <c r="B8" s="106" t="s">
        <v>14</v>
      </c>
      <c r="C8" s="103" t="s">
        <v>13</v>
      </c>
      <c r="D8" s="104">
        <v>427000253857</v>
      </c>
      <c r="E8" s="104"/>
      <c r="F8" s="104">
        <f>+D8+E8</f>
        <v>427000253857</v>
      </c>
      <c r="G8" s="104">
        <v>39864600128.839996</v>
      </c>
      <c r="H8" s="104">
        <f>112974614818.94-G8</f>
        <v>73110014690.100006</v>
      </c>
      <c r="I8" s="104">
        <f>162887926520.82-G8-H8</f>
        <v>49913311701.880005</v>
      </c>
      <c r="J8" s="104">
        <f>237825007062.26-G8-H8-I8</f>
        <v>74937080541.440002</v>
      </c>
      <c r="K8" s="104">
        <f>341976625179.74-G8-H8-I8-J8</f>
        <v>104151618117.48001</v>
      </c>
      <c r="L8" s="104">
        <f>403527578788.25-G8-H8-I8-J8-K8</f>
        <v>61550953608.51004</v>
      </c>
      <c r="M8" s="104">
        <f>450355007261.39-G8-H8-I8-J8-K8-L8</f>
        <v>46827428473.140015</v>
      </c>
      <c r="N8" s="115">
        <f>552782801335.09-G8-H8-I8-J8-K8-L8-M8</f>
        <v>102427794073.69995</v>
      </c>
      <c r="O8" s="104">
        <f>623929960472.57-G8-H8-I8-J8-K8-L8-M8-N8</f>
        <v>71147159137.47995</v>
      </c>
      <c r="P8" s="104">
        <f>654851830420.49-G8-H8-I8-J8-K8-L8-M8-N8-O8</f>
        <v>30921869947.920044</v>
      </c>
      <c r="Q8" s="104">
        <f>742678250063.57-G8-H8-I8-J8-K8-L8-M8-N8-O8-P8</f>
        <v>87826419643.079987</v>
      </c>
      <c r="R8" s="104">
        <f>834499054595.77-G8-H8-I8-J8-K8-L8-M8-N8-O8-P8-Q8</f>
        <v>91820804532.200073</v>
      </c>
      <c r="S8" s="104">
        <f t="shared" ref="S8:S17" si="1">SUM(G8:R8)</f>
        <v>834499054595.77002</v>
      </c>
      <c r="T8" s="107">
        <f t="shared" si="0"/>
        <v>-407498800738.77002</v>
      </c>
      <c r="U8" s="80">
        <v>651708636856.79004</v>
      </c>
      <c r="V8" s="81">
        <v>404673420802.85999</v>
      </c>
      <c r="W8" s="88">
        <v>459464403631.72998</v>
      </c>
      <c r="X8" s="88">
        <f t="shared" ref="X8:X17" si="2">+W8-V8</f>
        <v>54790982828.869995</v>
      </c>
      <c r="Y8" s="88">
        <f t="shared" ref="Y8:Y17" si="3">+G8+H8+I8+J8+K8+L8+M8+N8+O8+P8+Q8+R8</f>
        <v>834499054595.77002</v>
      </c>
      <c r="Z8" s="88">
        <f t="shared" ref="Z8:Z17" si="4">+U8-Y8</f>
        <v>-182790417738.97998</v>
      </c>
      <c r="AA8" s="89"/>
      <c r="AB8" s="89"/>
      <c r="AC8" s="89"/>
      <c r="AD8" s="89"/>
    </row>
    <row r="9" spans="2:30" s="91" customFormat="1" ht="94.5" x14ac:dyDescent="0.2">
      <c r="B9" s="106" t="s">
        <v>15</v>
      </c>
      <c r="C9" s="103" t="s">
        <v>13</v>
      </c>
      <c r="D9" s="104">
        <v>427000253857</v>
      </c>
      <c r="E9" s="104"/>
      <c r="F9" s="104">
        <f>+D9+E9</f>
        <v>427000253857</v>
      </c>
      <c r="G9" s="104">
        <v>39864600128.839996</v>
      </c>
      <c r="H9" s="104">
        <f>112974614818.94-G9</f>
        <v>73110014690.100006</v>
      </c>
      <c r="I9" s="104">
        <f>162887926520.82-G9-H9</f>
        <v>49913311701.880005</v>
      </c>
      <c r="J9" s="104">
        <f>237825007062.26-G9-H9-I9</f>
        <v>74937080541.440002</v>
      </c>
      <c r="K9" s="104">
        <f>341976625179.74-G9-H9-I9-J9</f>
        <v>104151618117.48001</v>
      </c>
      <c r="L9" s="104">
        <f>403527578788.25-G9-H9-I9-J9-K9</f>
        <v>61550953608.51004</v>
      </c>
      <c r="M9" s="104">
        <f>450355007261.39-G9-H9-I9-J9-K9-L9</f>
        <v>46827428473.140015</v>
      </c>
      <c r="N9" s="115">
        <f>552782801335.09-G9-H9-I9-J9-K9-L9-M9</f>
        <v>102427794073.69995</v>
      </c>
      <c r="O9" s="104">
        <f>623929960472.57-G9-H9-I9-J9-K9-L9-M9-N9</f>
        <v>71147159137.47995</v>
      </c>
      <c r="P9" s="104">
        <f>654851830420.49-G9-H9-I9-J9-K9-L9-M9-N9-O9</f>
        <v>30921869947.920044</v>
      </c>
      <c r="Q9" s="104">
        <f>742678250063.57-G9-H9-I9-J9-K9-L9-M9-N9-O9-P9</f>
        <v>87826419643.079987</v>
      </c>
      <c r="R9" s="104">
        <f>834499054595.77-G9-H9-I9-J9-K9-L9-M9-N9-O9-P9-Q9</f>
        <v>91820804532.200073</v>
      </c>
      <c r="S9" s="104">
        <f t="shared" si="1"/>
        <v>834499054595.77002</v>
      </c>
      <c r="T9" s="107">
        <f t="shared" si="0"/>
        <v>-407498800738.77002</v>
      </c>
      <c r="U9" s="80">
        <v>651708636856.79004</v>
      </c>
      <c r="V9" s="81">
        <v>404673420802.85999</v>
      </c>
      <c r="W9" s="88">
        <v>459464403631.72998</v>
      </c>
      <c r="X9" s="88">
        <f t="shared" si="2"/>
        <v>54790982828.869995</v>
      </c>
      <c r="Y9" s="88">
        <f t="shared" si="3"/>
        <v>834499054595.77002</v>
      </c>
      <c r="Z9" s="88">
        <f t="shared" si="4"/>
        <v>-182790417738.97998</v>
      </c>
      <c r="AA9" s="89"/>
      <c r="AB9" s="89"/>
      <c r="AC9" s="89"/>
      <c r="AD9" s="89"/>
    </row>
    <row r="10" spans="2:30" s="91" customFormat="1" ht="47.25" x14ac:dyDescent="0.2">
      <c r="B10" s="106" t="s">
        <v>16</v>
      </c>
      <c r="C10" s="103" t="s">
        <v>17</v>
      </c>
      <c r="D10" s="104">
        <v>427000253857</v>
      </c>
      <c r="E10" s="104"/>
      <c r="F10" s="104">
        <f t="shared" ref="F10" si="5">+D10+E10</f>
        <v>427000253857</v>
      </c>
      <c r="G10" s="104">
        <v>39251998439.339996</v>
      </c>
      <c r="H10" s="104">
        <f>111702526811.65-G10</f>
        <v>72450528372.309998</v>
      </c>
      <c r="I10" s="104">
        <f>161043470082.69-G10-H10</f>
        <v>49340943271.040009</v>
      </c>
      <c r="J10" s="104">
        <f>235303935558.47-G10-H10-I10</f>
        <v>74260465475.779999</v>
      </c>
      <c r="K10" s="104">
        <f>339145058012.95-G10-H10-I10-J10</f>
        <v>103841122454.47998</v>
      </c>
      <c r="L10" s="104">
        <f>399961618718.53-G10-H10-I10-J10-K10</f>
        <v>60816560705.580078</v>
      </c>
      <c r="M10" s="104">
        <f>446185588521.82-G10-H10-I10-J10-K10-L10</f>
        <v>46223969803.289948</v>
      </c>
      <c r="N10" s="115">
        <f>547027704821.94-G10-H10-I10-J10-K10-L10-M10</f>
        <v>100842116300.11996</v>
      </c>
      <c r="O10" s="104">
        <f>617534689352.67-G10-H10-I10-J10-K10-L10-M10-N10</f>
        <v>70506984530.730103</v>
      </c>
      <c r="P10" s="104">
        <f>647928768513.42-G10-H10-I10-J10-K10-L10-M10-N10-O10</f>
        <v>30394079160.75</v>
      </c>
      <c r="Q10" s="104">
        <f>735156642457.68-G10-H10-I10-J10-K10-L10-M10-N10-O10-P10</f>
        <v>87227873944.259918</v>
      </c>
      <c r="R10" s="104">
        <f>826138186005.48-G10-H10-I10-J10-K10-L10-M10-N10-O10-P10-Q10</f>
        <v>90981543547.800018</v>
      </c>
      <c r="S10" s="104">
        <f t="shared" si="1"/>
        <v>826138186005.47998</v>
      </c>
      <c r="T10" s="107">
        <f t="shared" si="0"/>
        <v>-399137932148.47998</v>
      </c>
      <c r="U10" s="80">
        <v>628758610130.69995</v>
      </c>
      <c r="V10" s="81">
        <v>388103135991.32001</v>
      </c>
      <c r="W10" s="88">
        <v>440494939031.75</v>
      </c>
      <c r="X10" s="88">
        <f t="shared" si="2"/>
        <v>52391803040.429993</v>
      </c>
      <c r="Y10" s="88">
        <f t="shared" si="3"/>
        <v>826138186005.47998</v>
      </c>
      <c r="Z10" s="88">
        <f t="shared" si="4"/>
        <v>-197379575874.78003</v>
      </c>
      <c r="AA10" s="89"/>
      <c r="AB10" s="89"/>
      <c r="AC10" s="89"/>
      <c r="AD10" s="89"/>
    </row>
    <row r="11" spans="2:30" s="91" customFormat="1" ht="63" x14ac:dyDescent="0.2">
      <c r="B11" s="106" t="s">
        <v>18</v>
      </c>
      <c r="C11" s="103" t="s">
        <v>19</v>
      </c>
      <c r="D11" s="104">
        <v>427000253857</v>
      </c>
      <c r="E11" s="104"/>
      <c r="F11" s="104">
        <f t="shared" ref="F11:F17" si="6">+D11+E11</f>
        <v>427000253857</v>
      </c>
      <c r="G11" s="104">
        <v>39251998439.339996</v>
      </c>
      <c r="H11" s="104">
        <f>111702526811.65-G11</f>
        <v>72450528372.309998</v>
      </c>
      <c r="I11" s="104">
        <f>161043470082.69-G11-H11</f>
        <v>49340943271.040009</v>
      </c>
      <c r="J11" s="104">
        <f>235303935558.47-G11-H11-I11</f>
        <v>74260465475.779999</v>
      </c>
      <c r="K11" s="104">
        <f>339145058012.95-G11-H11-I11-J11</f>
        <v>103841122454.47998</v>
      </c>
      <c r="L11" s="104">
        <f>399961618718.53-G11-H11-I11-J11-K11</f>
        <v>60816560705.580078</v>
      </c>
      <c r="M11" s="104">
        <f>446185588521.82-G11-H11-I11-J11-K11-L11</f>
        <v>46223969803.289948</v>
      </c>
      <c r="N11" s="115">
        <f>547027704821.94-G11-H11-I11-J11-K11-L11-M11</f>
        <v>100842116300.11996</v>
      </c>
      <c r="O11" s="104">
        <f>617534689352.67-G11-H11-I11-J11-K11-L11-M11-N11</f>
        <v>70506984530.730103</v>
      </c>
      <c r="P11" s="104">
        <f>647928768513.42-G11-H11-I11-J11-K11-L11-M11-N11-O11</f>
        <v>30394079160.75</v>
      </c>
      <c r="Q11" s="104">
        <f>735156642457.68-G11-H11-I11-J11-K11-L11-M11-N11-O11-P11</f>
        <v>87227873944.259918</v>
      </c>
      <c r="R11" s="104">
        <f>826138186005.48-G11-H11-I11-J11-K11-L11-M11-N11-O11-P11-Q11</f>
        <v>90981543547.800018</v>
      </c>
      <c r="S11" s="104">
        <f t="shared" si="1"/>
        <v>826138186005.47998</v>
      </c>
      <c r="T11" s="107">
        <f t="shared" si="0"/>
        <v>-399137932148.47998</v>
      </c>
      <c r="U11" s="80">
        <v>628758610130.69995</v>
      </c>
      <c r="V11" s="81">
        <v>388103135991.32001</v>
      </c>
      <c r="W11" s="88">
        <v>440494939031.75</v>
      </c>
      <c r="X11" s="88">
        <f t="shared" si="2"/>
        <v>52391803040.429993</v>
      </c>
      <c r="Y11" s="88">
        <f t="shared" si="3"/>
        <v>826138186005.47998</v>
      </c>
      <c r="Z11" s="88">
        <f t="shared" si="4"/>
        <v>-197379575874.78003</v>
      </c>
      <c r="AA11" s="89"/>
      <c r="AB11" s="89"/>
      <c r="AC11" s="89"/>
      <c r="AD11" s="89"/>
    </row>
    <row r="12" spans="2:30" s="91" customFormat="1" ht="78.75" x14ac:dyDescent="0.2">
      <c r="B12" s="106" t="s">
        <v>244</v>
      </c>
      <c r="C12" s="103" t="s">
        <v>114</v>
      </c>
      <c r="D12" s="104">
        <v>0</v>
      </c>
      <c r="E12" s="104"/>
      <c r="F12" s="104">
        <f t="shared" si="6"/>
        <v>0</v>
      </c>
      <c r="G12" s="104">
        <v>1508127</v>
      </c>
      <c r="H12" s="104">
        <f>5510653-G12</f>
        <v>4002526</v>
      </c>
      <c r="I12" s="104">
        <f>7959783-G12-H12</f>
        <v>2449130</v>
      </c>
      <c r="J12" s="104">
        <f>14074909-G12-H12-I12</f>
        <v>6115126</v>
      </c>
      <c r="K12" s="104">
        <f>17852633-G12-H12-I12-J12</f>
        <v>3777724</v>
      </c>
      <c r="L12" s="104">
        <f>28221921-G12-H12-I12-J12-K12</f>
        <v>10369288</v>
      </c>
      <c r="M12" s="104">
        <f>30272155-G12-H12-I12-J12-K12-L12</f>
        <v>2050234</v>
      </c>
      <c r="N12" s="115">
        <f>47230363-G12-H12-I12-J12-K12-L12-M12</f>
        <v>16958208</v>
      </c>
      <c r="O12" s="104">
        <f>69860841-G12-H12-I12-J12-K12-L12-M12-N12</f>
        <v>22630478</v>
      </c>
      <c r="P12" s="104">
        <f>76173093-G12-H12-I12-J12-K12-L12-M12-N12-O12</f>
        <v>6312252</v>
      </c>
      <c r="Q12" s="104">
        <f>78629519-G12-H12-I12-J12-K12-L12-M12-N12-O12-P12</f>
        <v>2456426</v>
      </c>
      <c r="R12" s="104">
        <f>82521457-G12-H12-I12-J12-K12-L12-M12-N12-O12-P12-Q12</f>
        <v>3891938</v>
      </c>
      <c r="S12" s="104">
        <f t="shared" ref="S12:S13" si="7">SUM(G12:R12)</f>
        <v>82521457</v>
      </c>
      <c r="T12" s="107">
        <f t="shared" ref="T12:T13" si="8">+F12-S12</f>
        <v>-82521457</v>
      </c>
      <c r="U12" s="80"/>
      <c r="V12" s="81"/>
      <c r="W12" s="88"/>
      <c r="X12" s="88"/>
      <c r="Y12" s="88">
        <f t="shared" si="3"/>
        <v>82521457</v>
      </c>
      <c r="Z12" s="88"/>
      <c r="AA12" s="89"/>
      <c r="AB12" s="89"/>
      <c r="AC12" s="89"/>
      <c r="AD12" s="89"/>
    </row>
    <row r="13" spans="2:30" s="91" customFormat="1" ht="47.25" x14ac:dyDescent="0.2">
      <c r="B13" s="106" t="s">
        <v>245</v>
      </c>
      <c r="C13" s="103" t="s">
        <v>134</v>
      </c>
      <c r="D13" s="104">
        <v>427000253857</v>
      </c>
      <c r="E13" s="104"/>
      <c r="F13" s="104">
        <f t="shared" si="6"/>
        <v>427000253857</v>
      </c>
      <c r="G13" s="104">
        <v>39250490312.339996</v>
      </c>
      <c r="H13" s="104">
        <f>111697016158.65-G13</f>
        <v>72446525846.309998</v>
      </c>
      <c r="I13" s="104">
        <f>161035510299.69-G13-H13</f>
        <v>49338494141.040009</v>
      </c>
      <c r="J13" s="104">
        <f>235289860649.47-G13-H13-I13</f>
        <v>74254350349.779999</v>
      </c>
      <c r="K13" s="104">
        <f>339127205379.95-G13-H13-I13-J13</f>
        <v>103837344730.47998</v>
      </c>
      <c r="L13" s="112">
        <f>399933396797.53-G13-H13-I13-J13-K13</f>
        <v>60806191417.580078</v>
      </c>
      <c r="M13" s="104">
        <f>446155316366.82-G13-H13-I13-J13-K13-L13</f>
        <v>46221919569.289948</v>
      </c>
      <c r="N13" s="115">
        <f>546980474458.94-G13-H13-I13-J13-K13-L13-M13</f>
        <v>100825158092.11996</v>
      </c>
      <c r="O13" s="104">
        <f>617464828511.67-G13-H13-I13-J13-K13-L13-M13-N13</f>
        <v>70484354052.730103</v>
      </c>
      <c r="P13" s="104">
        <f>647852595420.42-G13-H13-I13-J13-K13-L13-M13-N13-O13</f>
        <v>30387766908.75</v>
      </c>
      <c r="Q13" s="104">
        <f>735078012938.68-G13-H13-I13-J13-K13-L13-M13-N13-O13-P13</f>
        <v>87225417518.259918</v>
      </c>
      <c r="R13" s="104">
        <f>826055664548.48-G13-H13-I13-J13-K13-L13-M13-N13-O13-P13-Q13</f>
        <v>90977651609.800018</v>
      </c>
      <c r="S13" s="104">
        <f t="shared" si="7"/>
        <v>826055664548.47998</v>
      </c>
      <c r="T13" s="107">
        <f t="shared" si="8"/>
        <v>-399055410691.47998</v>
      </c>
      <c r="U13" s="80"/>
      <c r="V13" s="81"/>
      <c r="W13" s="88"/>
      <c r="X13" s="88"/>
      <c r="Y13" s="88">
        <f t="shared" si="3"/>
        <v>826055664548.47998</v>
      </c>
      <c r="Z13" s="88"/>
      <c r="AA13" s="89"/>
      <c r="AB13" s="89"/>
      <c r="AC13" s="89"/>
      <c r="AD13" s="89"/>
    </row>
    <row r="14" spans="2:30" s="91" customFormat="1" ht="47.25" x14ac:dyDescent="0.2">
      <c r="B14" s="106" t="s">
        <v>20</v>
      </c>
      <c r="C14" s="103" t="s">
        <v>21</v>
      </c>
      <c r="D14" s="104">
        <v>24000000</v>
      </c>
      <c r="E14" s="104"/>
      <c r="F14" s="104">
        <f t="shared" si="6"/>
        <v>24000000</v>
      </c>
      <c r="G14" s="104">
        <v>612601689.5</v>
      </c>
      <c r="H14" s="104">
        <f>1272088007.29-G14</f>
        <v>659486317.78999996</v>
      </c>
      <c r="I14" s="104">
        <f>1844456438.13-G14-H14</f>
        <v>572368430.84000015</v>
      </c>
      <c r="J14" s="104">
        <f>2521071503.79-G14-H14-I14</f>
        <v>676615065.65999985</v>
      </c>
      <c r="K14" s="104">
        <f>2831567166.79-G14-H14-I14-J14</f>
        <v>310495663</v>
      </c>
      <c r="L14" s="104">
        <f>3565960069.72-G14-H14-I14-J14-K14</f>
        <v>734392902.92999983</v>
      </c>
      <c r="M14" s="104">
        <f>4169418739.57-G14-H14-I14-J14-K14-L14</f>
        <v>603458669.85000038</v>
      </c>
      <c r="N14" s="115">
        <f>5755096513.15-G14-H14-I14-J14-K14-L14-M14</f>
        <v>1585677773.5799994</v>
      </c>
      <c r="O14" s="104">
        <f>6395271119.9-G14-H14-I14-J14-K14-L14-M14-N14</f>
        <v>640174606.75</v>
      </c>
      <c r="P14" s="104">
        <f>6923061907.07-G14-H14-I14-J14-K14-L14-M14-N14-O14</f>
        <v>527790787.17000008</v>
      </c>
      <c r="Q14" s="104">
        <f>7521607605.89-G14-H14-I14-J14-K14-L14-M14-N14-O14-P14</f>
        <v>598545698.82000065</v>
      </c>
      <c r="R14" s="104">
        <f>8360868590.29-G14-H14-I14-J14-K14-L14-M14-N14-O14-P14-Q14</f>
        <v>839260984.39999914</v>
      </c>
      <c r="S14" s="104">
        <f t="shared" si="1"/>
        <v>8360868590.289999</v>
      </c>
      <c r="T14" s="107">
        <f t="shared" si="0"/>
        <v>-8336868590.289999</v>
      </c>
      <c r="U14" s="80">
        <v>22950026726.09</v>
      </c>
      <c r="V14" s="81">
        <v>16570284811.540001</v>
      </c>
      <c r="W14" s="88">
        <v>18969464599.98</v>
      </c>
      <c r="X14" s="88">
        <f t="shared" si="2"/>
        <v>2399179788.4399986</v>
      </c>
      <c r="Y14" s="88">
        <f t="shared" si="3"/>
        <v>8360868590.289999</v>
      </c>
      <c r="Z14" s="88">
        <f t="shared" si="4"/>
        <v>14589158135.800001</v>
      </c>
      <c r="AA14" s="89"/>
      <c r="AB14" s="89"/>
      <c r="AC14" s="89"/>
      <c r="AD14" s="89"/>
    </row>
    <row r="15" spans="2:30" s="91" customFormat="1" ht="63" x14ac:dyDescent="0.2">
      <c r="B15" s="106" t="s">
        <v>22</v>
      </c>
      <c r="C15" s="103" t="s">
        <v>23</v>
      </c>
      <c r="D15" s="104">
        <v>0</v>
      </c>
      <c r="E15" s="104"/>
      <c r="F15" s="104">
        <f t="shared" si="6"/>
        <v>0</v>
      </c>
      <c r="G15" s="104">
        <v>53243599.979999997</v>
      </c>
      <c r="H15" s="104">
        <f>134011684.37-G15</f>
        <v>80768084.390000015</v>
      </c>
      <c r="I15" s="104">
        <f>202041988.21-G15-H15</f>
        <v>68030303.840000004</v>
      </c>
      <c r="J15" s="104">
        <f>297062377.87-G15-H15-I15</f>
        <v>95020389.659999996</v>
      </c>
      <c r="K15" s="104">
        <f>335645229.87-G15-H15-I15-J15</f>
        <v>38582851.99999997</v>
      </c>
      <c r="L15" s="104">
        <f>445125236.45-G15-H15-I15-J15-K15</f>
        <v>109480006.57999995</v>
      </c>
      <c r="M15" s="104">
        <f>546705410.43-G15-H15-I15-J15-K15-L15</f>
        <v>101580173.97999999</v>
      </c>
      <c r="N15" s="115">
        <f>672087563.21-G15-H15-I15-J15-K15-L15-M15</f>
        <v>125382152.78000009</v>
      </c>
      <c r="O15" s="104">
        <f>842978126.96-G15-H15-I15-J15-K15-L15-M15-N15</f>
        <v>170890563.75</v>
      </c>
      <c r="P15" s="104">
        <f>1003680131.03-G15-H15-I15-J15-K15-L15-M15-N15-O15</f>
        <v>160702004.06999993</v>
      </c>
      <c r="Q15" s="104">
        <f>1136789089.89-G15-H15-I15-J15-K15-L15-M15-N15-O15-P15</f>
        <v>133108958.86000013</v>
      </c>
      <c r="R15" s="104">
        <f>1402112972.27-G15-H15-I15-J15-K15-L15-M15-N15-O15-P15-Q15</f>
        <v>265323882.37999976</v>
      </c>
      <c r="S15" s="104">
        <f t="shared" si="1"/>
        <v>1402112972.27</v>
      </c>
      <c r="T15" s="107">
        <f t="shared" si="0"/>
        <v>-1402112972.27</v>
      </c>
      <c r="U15" s="80">
        <v>1054385970.15</v>
      </c>
      <c r="V15" s="81">
        <v>674599869.11000001</v>
      </c>
      <c r="W15" s="88">
        <v>772693392.54999995</v>
      </c>
      <c r="X15" s="88">
        <f t="shared" si="2"/>
        <v>98093523.439999938</v>
      </c>
      <c r="Y15" s="88">
        <f t="shared" si="3"/>
        <v>1402112972.27</v>
      </c>
      <c r="Z15" s="88">
        <f t="shared" si="4"/>
        <v>-347727002.12</v>
      </c>
      <c r="AA15" s="89"/>
      <c r="AB15" s="89"/>
      <c r="AC15" s="89"/>
      <c r="AD15" s="89"/>
    </row>
    <row r="16" spans="2:30" s="91" customFormat="1" ht="78.75" x14ac:dyDescent="0.2">
      <c r="B16" s="106" t="s">
        <v>24</v>
      </c>
      <c r="C16" s="103" t="s">
        <v>25</v>
      </c>
      <c r="D16" s="104">
        <v>24000000000</v>
      </c>
      <c r="E16" s="104"/>
      <c r="F16" s="104">
        <f t="shared" si="6"/>
        <v>24000000000</v>
      </c>
      <c r="G16" s="104">
        <v>553334442</v>
      </c>
      <c r="H16" s="104">
        <f>1120811917-G16</f>
        <v>567477475</v>
      </c>
      <c r="I16" s="104">
        <f>1601778801-G16-H16</f>
        <v>480966884</v>
      </c>
      <c r="J16" s="104">
        <f>2162865887-G16-H16-I16</f>
        <v>561087086</v>
      </c>
      <c r="K16" s="104">
        <f>2420324076-G16-H16-I16-J16</f>
        <v>257458189</v>
      </c>
      <c r="L16" s="104">
        <f>3035099277-G16-H16-I16-J16-K16</f>
        <v>614775201</v>
      </c>
      <c r="M16" s="104">
        <f>3509298787-G16-H16-I16-J16-K16-L16</f>
        <v>474199510</v>
      </c>
      <c r="N16" s="115">
        <f>3891909973-G16-H16-I16-J16-K16-L16-M16</f>
        <v>382611186</v>
      </c>
      <c r="O16" s="104">
        <f>4349505815-G16-H16-I16-J16-K16-L16-M16-N16</f>
        <v>457595842</v>
      </c>
      <c r="P16" s="104">
        <f>4707518713-G16-H16-I16-J16-K16-L16-M16-N16-O16</f>
        <v>358012898</v>
      </c>
      <c r="Q16" s="104">
        <f>5136317690-G16-H16-I16-J16-K16-L16-M16-N16-O16-P16</f>
        <v>428798977</v>
      </c>
      <c r="R16" s="104">
        <f>5666118120-G16-H16-I16-J16-K16-L16-M16-N16-O16-P16-Q16</f>
        <v>529800430</v>
      </c>
      <c r="S16" s="104">
        <f t="shared" si="1"/>
        <v>5666118120</v>
      </c>
      <c r="T16" s="107">
        <f t="shared" si="0"/>
        <v>18333881880</v>
      </c>
      <c r="U16" s="80">
        <v>15245138958.450001</v>
      </c>
      <c r="V16" s="81">
        <v>10114871065.450001</v>
      </c>
      <c r="W16" s="88">
        <v>11423597597.450001</v>
      </c>
      <c r="X16" s="88">
        <f t="shared" si="2"/>
        <v>1308726532</v>
      </c>
      <c r="Y16" s="88">
        <f t="shared" si="3"/>
        <v>5666118120</v>
      </c>
      <c r="Z16" s="88">
        <f t="shared" si="4"/>
        <v>9579020838.4500008</v>
      </c>
      <c r="AA16" s="89"/>
      <c r="AB16" s="89"/>
      <c r="AC16" s="89"/>
      <c r="AD16" s="89"/>
    </row>
    <row r="17" spans="2:30" ht="111" thickBot="1" x14ac:dyDescent="0.25">
      <c r="B17" s="106" t="s">
        <v>26</v>
      </c>
      <c r="C17" s="103" t="s">
        <v>27</v>
      </c>
      <c r="D17" s="104">
        <v>0</v>
      </c>
      <c r="E17" s="104"/>
      <c r="F17" s="104">
        <f t="shared" si="6"/>
        <v>0</v>
      </c>
      <c r="G17" s="104">
        <v>6023647.5199999996</v>
      </c>
      <c r="H17" s="104">
        <f>17264405.92-G17</f>
        <v>11240758.400000002</v>
      </c>
      <c r="I17" s="104">
        <f>40635648.92-G17-H17</f>
        <v>23371243.000000004</v>
      </c>
      <c r="J17" s="104">
        <f>61143238.92-G17-H17-I17</f>
        <v>20507589.999999996</v>
      </c>
      <c r="K17" s="104">
        <f>75597860.92-G17-H17-I17-J17</f>
        <v>14454622.000000004</v>
      </c>
      <c r="L17" s="104">
        <f>85735556.27-G17-H17-I17-J17-K17</f>
        <v>10137695.349999994</v>
      </c>
      <c r="M17" s="104">
        <f>113414542.14-G17-H17-I17-J17-K17-L17</f>
        <v>27678985.870000005</v>
      </c>
      <c r="N17" s="115">
        <f>1191098976.94-G17-H17-I17-J17-K17-L17-M17</f>
        <v>1077684434.8000002</v>
      </c>
      <c r="O17" s="104">
        <f>1202787177.94-G17-H17-I17-J17-K17-L17-M17-N17</f>
        <v>11688201</v>
      </c>
      <c r="P17" s="104">
        <f>1211863063.04-G17-H17-I17-J17-K17-L17-M17-N17-O17</f>
        <v>9075885.0999999046</v>
      </c>
      <c r="Q17" s="104">
        <f>1248500826-G17-H17-I17-J17-K17-L17-M17-N17-O17-P17</f>
        <v>36637762.960000038</v>
      </c>
      <c r="R17" s="104">
        <f>1292637498.02-H17-I17-J17-K17-L17-M17-N17-O17-P17-Q17-G17</f>
        <v>44136672.019999966</v>
      </c>
      <c r="S17" s="104">
        <f t="shared" si="1"/>
        <v>1292637498.0200002</v>
      </c>
      <c r="T17" s="107">
        <f t="shared" si="0"/>
        <v>-1292637498.0200002</v>
      </c>
      <c r="U17" s="80">
        <v>6650501797.4899998</v>
      </c>
      <c r="V17" s="82">
        <v>5780813876.9799995</v>
      </c>
      <c r="W17" s="92">
        <v>6773173609.9799995</v>
      </c>
      <c r="X17" s="88">
        <f t="shared" si="2"/>
        <v>992359733</v>
      </c>
      <c r="Y17" s="88">
        <f t="shared" si="3"/>
        <v>1292637498.0200002</v>
      </c>
      <c r="Z17" s="88">
        <f t="shared" si="4"/>
        <v>5357864299.4699993</v>
      </c>
      <c r="AA17" s="93"/>
      <c r="AB17" s="93"/>
      <c r="AC17" s="93"/>
      <c r="AD17" s="93"/>
    </row>
    <row r="18" spans="2:30" ht="111" thickBot="1" x14ac:dyDescent="0.25">
      <c r="B18" s="108" t="s">
        <v>246</v>
      </c>
      <c r="C18" s="109" t="s">
        <v>27</v>
      </c>
      <c r="D18" s="110">
        <v>0</v>
      </c>
      <c r="E18" s="110"/>
      <c r="F18" s="110">
        <v>0</v>
      </c>
      <c r="G18" s="110">
        <v>2228811.52</v>
      </c>
      <c r="H18" s="110">
        <f>4999213.92-G18</f>
        <v>2770402.4</v>
      </c>
      <c r="I18" s="110">
        <f>7780080.92-G18-H18</f>
        <v>2780867.0000000005</v>
      </c>
      <c r="J18" s="110">
        <f>13515235.92-G18-H18-I18</f>
        <v>5735155</v>
      </c>
      <c r="K18" s="110">
        <f>14432466.92-G18-H18-I18-J18</f>
        <v>917231</v>
      </c>
      <c r="L18" s="110">
        <f>14593967.92-G18-H18-I18-J18-K18</f>
        <v>161501</v>
      </c>
      <c r="M18" s="110">
        <f>18078513.79-G18-H18-I18-J18-K18-L18</f>
        <v>3484545.8699999992</v>
      </c>
      <c r="N18" s="116">
        <f>1085409777.59-G18-H18-I18-J18-K18-L18-M18</f>
        <v>1067331263.7999998</v>
      </c>
      <c r="O18" s="110">
        <f>1086556416.59-G18-H18-I18-J18-K18-L18-M18-N18</f>
        <v>1146639</v>
      </c>
      <c r="P18" s="110">
        <f>1087719320.69-G18-H18-I18-J18-K18-L18-M18-N18-O18</f>
        <v>1162904.1000001431</v>
      </c>
      <c r="Q18" s="110">
        <f>1103882593.65-G18-H18-I18-J18-K18-L18-M18-N18-O18-P18</f>
        <v>16163272.960000157</v>
      </c>
      <c r="R18" s="110">
        <f>1114967793.67-G18-H18-I18-J18-K18-L18-M18-N18-O18-P18-Q18</f>
        <v>11085200.019999981</v>
      </c>
      <c r="S18" s="110">
        <f t="shared" ref="S18" si="9">SUM(G18:R18)</f>
        <v>1114967793.6700001</v>
      </c>
      <c r="T18" s="111">
        <f t="shared" ref="T18" si="10">+F18-S18</f>
        <v>-1114967793.6700001</v>
      </c>
      <c r="U18" s="80">
        <v>6650501797.4899998</v>
      </c>
      <c r="V18" s="82">
        <v>5780813876.9799995</v>
      </c>
      <c r="W18" s="92">
        <v>6773173609.9799995</v>
      </c>
      <c r="X18" s="88">
        <f t="shared" ref="X18" si="11">+W18-V18</f>
        <v>992359733</v>
      </c>
      <c r="Y18" s="88">
        <f t="shared" ref="Y18" si="12">+G18+H18+I18+J18+K18+L18+M18+N18+O18+P18+Q18+R18</f>
        <v>1114967793.6700001</v>
      </c>
      <c r="Z18" s="88">
        <f t="shared" ref="Z18" si="13">+U18-Y18</f>
        <v>5535534003.8199997</v>
      </c>
      <c r="AA18" s="93"/>
      <c r="AB18" s="93"/>
      <c r="AC18" s="93"/>
      <c r="AD18" s="93"/>
    </row>
    <row r="19" spans="2:30" ht="15" x14ac:dyDescent="0.25">
      <c r="B19" s="94"/>
      <c r="C19" s="93"/>
      <c r="D19" s="95"/>
      <c r="E19" s="95"/>
      <c r="F19" s="95"/>
      <c r="G19" s="119"/>
      <c r="H19" s="143"/>
      <c r="I19" s="144"/>
      <c r="J19" s="145"/>
      <c r="K19" s="93"/>
      <c r="L19" s="93"/>
      <c r="M19" s="93"/>
      <c r="N19" s="93"/>
      <c r="O19" s="93"/>
      <c r="P19" s="93"/>
      <c r="Q19" s="93"/>
      <c r="R19" s="93"/>
      <c r="S19" s="83"/>
      <c r="T19" s="83"/>
      <c r="U19" s="80"/>
      <c r="V19" s="93"/>
      <c r="W19" s="93"/>
      <c r="X19" s="93"/>
      <c r="Y19" s="93"/>
      <c r="Z19" s="93"/>
      <c r="AA19" s="93"/>
      <c r="AB19" s="93"/>
      <c r="AC19" s="93"/>
      <c r="AD19" s="93"/>
    </row>
    <row r="20" spans="2:30" ht="14.25" customHeight="1" x14ac:dyDescent="0.2">
      <c r="G20" s="120"/>
      <c r="H20" s="146"/>
      <c r="I20" s="146"/>
      <c r="J20" s="146"/>
    </row>
    <row r="21" spans="2:30" s="2" customFormat="1" ht="18" x14ac:dyDescent="0.25">
      <c r="B21" s="5"/>
      <c r="C21" s="98" t="s">
        <v>243</v>
      </c>
      <c r="D21" s="6"/>
      <c r="E21" s="6"/>
      <c r="F21" s="6"/>
      <c r="G21" s="121"/>
      <c r="H21" s="147"/>
      <c r="I21" s="147"/>
      <c r="J21" s="147"/>
      <c r="S21" s="1"/>
      <c r="T21" s="1"/>
      <c r="U21" s="7"/>
    </row>
    <row r="22" spans="2:30" s="2" customFormat="1" ht="15" x14ac:dyDescent="0.25">
      <c r="B22" s="5"/>
      <c r="C22" s="99"/>
      <c r="D22" s="6"/>
      <c r="E22" s="6"/>
      <c r="F22" s="6"/>
      <c r="G22" s="121"/>
      <c r="S22" s="1"/>
      <c r="T22" s="1"/>
      <c r="U22" s="7"/>
    </row>
    <row r="23" spans="2:30" s="2" customFormat="1" x14ac:dyDescent="0.2">
      <c r="B23" s="5"/>
      <c r="D23" s="6"/>
      <c r="E23" s="6"/>
      <c r="F23" s="6"/>
      <c r="G23" s="121"/>
      <c r="S23" s="1"/>
      <c r="T23" s="1"/>
      <c r="U23" s="7"/>
    </row>
    <row r="24" spans="2:30" s="2" customFormat="1" x14ac:dyDescent="0.2">
      <c r="B24" s="5"/>
      <c r="D24" s="6"/>
      <c r="E24" s="6"/>
      <c r="F24" s="6"/>
      <c r="G24" s="121"/>
      <c r="S24" s="1"/>
      <c r="T24" s="1"/>
      <c r="U24" s="7"/>
    </row>
    <row r="25" spans="2:30" s="2" customFormat="1" x14ac:dyDescent="0.2">
      <c r="B25" s="5"/>
      <c r="C25" s="2" t="s">
        <v>247</v>
      </c>
      <c r="D25" s="6"/>
      <c r="E25" s="6"/>
      <c r="G25" s="122" t="s">
        <v>250</v>
      </c>
      <c r="H25" s="114"/>
      <c r="I25" s="85"/>
      <c r="J25" s="85"/>
      <c r="S25" s="1"/>
      <c r="T25" s="1"/>
      <c r="U25" s="7"/>
    </row>
    <row r="26" spans="2:30" s="2" customFormat="1" x14ac:dyDescent="0.2">
      <c r="B26" s="5"/>
      <c r="C26" s="2" t="s">
        <v>249</v>
      </c>
      <c r="D26" s="6"/>
      <c r="E26" s="6"/>
      <c r="G26" s="85" t="s">
        <v>251</v>
      </c>
      <c r="H26" s="123"/>
      <c r="I26" s="85"/>
      <c r="J26" s="85"/>
      <c r="S26" s="1"/>
      <c r="T26" s="1"/>
      <c r="U26" s="7"/>
    </row>
    <row r="27" spans="2:30" s="2" customFormat="1" ht="15" x14ac:dyDescent="0.25">
      <c r="B27" s="5"/>
      <c r="D27" s="6"/>
      <c r="E27" s="6"/>
      <c r="F27" s="6"/>
      <c r="G27" s="124" t="s">
        <v>252</v>
      </c>
      <c r="H27" s="123"/>
      <c r="S27" s="1"/>
      <c r="T27" s="1"/>
      <c r="U27" s="7"/>
    </row>
    <row r="28" spans="2:30" s="2" customFormat="1" x14ac:dyDescent="0.2">
      <c r="B28" s="5"/>
      <c r="D28" s="6"/>
      <c r="E28" s="6"/>
      <c r="F28" s="6"/>
      <c r="G28" s="121"/>
      <c r="S28" s="1"/>
      <c r="T28" s="1"/>
      <c r="U28" s="7"/>
    </row>
  </sheetData>
  <sheetProtection algorithmName="SHA-512" hashValue="ykwR7GWWicXBPvtoMt6LXl9cp6vSOzelU/32LPIZHKMHilZCAklylb+mcfgfrBc668qmPdvziprmAYvFvF7qvQ==" saltValue="Kv+ZDTyPeuexV+Qh/y4zOg==" spinCount="100000" sheet="1" formatCells="0" formatColumns="0" formatRows="0" insertColumns="0" insertRows="0" insertHyperlinks="0" deleteColumns="0" deleteRows="0" sort="0" autoFilter="0" pivotTables="0"/>
  <mergeCells count="9">
    <mergeCell ref="B4:T4"/>
    <mergeCell ref="B3:T3"/>
    <mergeCell ref="B2:T2"/>
    <mergeCell ref="H19:J19"/>
    <mergeCell ref="H20:J21"/>
    <mergeCell ref="B5:B6"/>
    <mergeCell ref="C5:C6"/>
    <mergeCell ref="D5:F5"/>
    <mergeCell ref="G5:T5"/>
  </mergeCells>
  <pageMargins left="0.7" right="0.7" top="0.75" bottom="0.75" header="0.3" footer="0.3"/>
  <pageSetup scale="2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84"/>
  <sheetViews>
    <sheetView showGridLines="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2" width="2.7109375" style="73" customWidth="1"/>
    <col min="3" max="3" width="4" style="73" customWidth="1"/>
    <col min="4" max="4" width="2.7109375" style="73" customWidth="1"/>
    <col min="5" max="5" width="4" style="73" customWidth="1"/>
    <col min="6" max="9" width="2.7109375" style="73" customWidth="1"/>
    <col min="10" max="10" width="0" style="73" hidden="1" customWidth="1"/>
    <col min="11" max="12" width="1.28515625" style="73" customWidth="1"/>
    <col min="13" max="14" width="3.42578125" style="73" customWidth="1"/>
    <col min="15" max="15" width="4.28515625" style="73" customWidth="1"/>
    <col min="16" max="16" width="2.5703125" style="73" customWidth="1"/>
    <col min="17" max="17" width="1.5703125" style="73" customWidth="1"/>
    <col min="18" max="18" width="4.28515625" style="73" customWidth="1"/>
    <col min="19" max="19" width="5.140625" style="73" customWidth="1"/>
    <col min="20" max="20" width="4.28515625" style="73" customWidth="1"/>
    <col min="21" max="21" width="3.85546875" style="73" customWidth="1"/>
    <col min="22" max="22" width="4" style="73" customWidth="1"/>
    <col min="23" max="23" width="5.42578125" style="73" customWidth="1"/>
    <col min="24" max="24" width="3.85546875" style="73" customWidth="1"/>
    <col min="25" max="25" width="10.85546875" style="73" customWidth="1"/>
    <col min="26" max="26" width="4" style="73" customWidth="1"/>
    <col min="27" max="27" width="9.42578125" style="73" customWidth="1"/>
    <col min="28" max="28" width="4" style="73" customWidth="1"/>
    <col min="29" max="29" width="2.7109375" style="73" customWidth="1"/>
    <col min="30" max="30" width="1.28515625" style="73" customWidth="1"/>
    <col min="31" max="32" width="8.140625" style="73" customWidth="1"/>
    <col min="33" max="33" width="5.42578125" style="73" customWidth="1"/>
    <col min="34" max="35" width="1.28515625" style="73" customWidth="1"/>
    <col min="36" max="39" width="8.140625" style="73" customWidth="1"/>
    <col min="40" max="40" width="5.42578125" style="73" customWidth="1"/>
    <col min="41" max="41" width="2.7109375" style="73" customWidth="1"/>
    <col min="42" max="42" width="0" style="73" hidden="1" customWidth="1"/>
    <col min="43" max="45" width="8.140625" style="73" customWidth="1"/>
    <col min="46" max="46" width="85" style="73" customWidth="1"/>
    <col min="47" max="16384" width="11.42578125" style="73"/>
  </cols>
  <sheetData>
    <row r="1" spans="1:45" ht="7.15" customHeight="1" x14ac:dyDescent="0.25"/>
    <row r="2" spans="1:45" ht="7.15" customHeight="1" x14ac:dyDescent="0.25"/>
    <row r="3" spans="1:45" x14ac:dyDescent="0.25">
      <c r="L3" s="166" t="s">
        <v>48</v>
      </c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D3" s="164" t="s">
        <v>49</v>
      </c>
      <c r="AE3" s="155"/>
      <c r="AF3" s="155"/>
      <c r="AG3" s="155"/>
      <c r="AH3" s="155"/>
      <c r="AJ3" s="163" t="s">
        <v>50</v>
      </c>
      <c r="AK3" s="155"/>
      <c r="AL3" s="155"/>
      <c r="AM3" s="155"/>
      <c r="AN3" s="155"/>
    </row>
    <row r="4" spans="1:45" ht="2.4500000000000002" customHeight="1" x14ac:dyDescent="0.25">
      <c r="A4" s="155"/>
      <c r="B4" s="155"/>
      <c r="C4" s="155"/>
      <c r="D4" s="155"/>
      <c r="E4" s="155"/>
      <c r="F4" s="155"/>
      <c r="G4" s="155"/>
      <c r="H4" s="155"/>
      <c r="I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D4" s="155"/>
      <c r="AE4" s="155"/>
      <c r="AF4" s="155"/>
      <c r="AG4" s="155"/>
      <c r="AH4" s="155"/>
      <c r="AJ4" s="155"/>
      <c r="AK4" s="155"/>
      <c r="AL4" s="155"/>
      <c r="AM4" s="155"/>
      <c r="AN4" s="155"/>
    </row>
    <row r="5" spans="1:45" ht="7.15" customHeight="1" x14ac:dyDescent="0.25">
      <c r="A5" s="155"/>
      <c r="B5" s="155"/>
      <c r="C5" s="155"/>
      <c r="D5" s="155"/>
      <c r="E5" s="155"/>
      <c r="F5" s="155"/>
      <c r="G5" s="155"/>
      <c r="H5" s="155"/>
      <c r="I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</row>
    <row r="6" spans="1:45" ht="28.35" customHeight="1" x14ac:dyDescent="0.25">
      <c r="A6" s="155"/>
      <c r="B6" s="155"/>
      <c r="C6" s="155"/>
      <c r="D6" s="155"/>
      <c r="E6" s="155"/>
      <c r="F6" s="155"/>
      <c r="G6" s="155"/>
      <c r="H6" s="155"/>
      <c r="I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D6" s="164" t="s">
        <v>51</v>
      </c>
      <c r="AE6" s="155"/>
      <c r="AF6" s="155"/>
      <c r="AG6" s="155"/>
      <c r="AH6" s="155"/>
      <c r="AJ6" s="163" t="s">
        <v>52</v>
      </c>
      <c r="AK6" s="155"/>
      <c r="AL6" s="155"/>
      <c r="AM6" s="155"/>
      <c r="AN6" s="155"/>
    </row>
    <row r="7" spans="1:45" ht="7.15" customHeight="1" x14ac:dyDescent="0.25">
      <c r="A7" s="155"/>
      <c r="B7" s="155"/>
      <c r="C7" s="155"/>
      <c r="D7" s="155"/>
      <c r="E7" s="155"/>
      <c r="F7" s="155"/>
      <c r="G7" s="155"/>
      <c r="H7" s="155"/>
      <c r="I7" s="155"/>
      <c r="AD7" s="155"/>
      <c r="AE7" s="155"/>
      <c r="AF7" s="155"/>
      <c r="AG7" s="155"/>
      <c r="AH7" s="155"/>
      <c r="AJ7" s="155"/>
      <c r="AK7" s="155"/>
      <c r="AL7" s="155"/>
      <c r="AM7" s="155"/>
      <c r="AN7" s="155"/>
    </row>
    <row r="8" spans="1:45" ht="7.15" customHeight="1" x14ac:dyDescent="0.25">
      <c r="A8" s="155"/>
      <c r="B8" s="155"/>
      <c r="C8" s="155"/>
      <c r="D8" s="155"/>
      <c r="E8" s="155"/>
      <c r="F8" s="155"/>
      <c r="G8" s="155"/>
      <c r="H8" s="155"/>
      <c r="I8" s="155"/>
    </row>
    <row r="9" spans="1:45" ht="4.5" customHeight="1" x14ac:dyDescent="0.25">
      <c r="A9" s="155"/>
      <c r="B9" s="155"/>
      <c r="C9" s="155"/>
      <c r="D9" s="155"/>
      <c r="E9" s="155"/>
      <c r="F9" s="155"/>
      <c r="G9" s="155"/>
      <c r="H9" s="155"/>
      <c r="I9" s="155"/>
      <c r="AD9" s="164" t="s">
        <v>53</v>
      </c>
      <c r="AE9" s="155"/>
      <c r="AF9" s="155"/>
      <c r="AG9" s="155"/>
      <c r="AH9" s="155"/>
      <c r="AJ9" s="163" t="s">
        <v>54</v>
      </c>
      <c r="AK9" s="155"/>
      <c r="AL9" s="155"/>
      <c r="AM9" s="155"/>
      <c r="AN9" s="155"/>
    </row>
    <row r="10" spans="1:45" x14ac:dyDescent="0.25">
      <c r="AD10" s="155"/>
      <c r="AE10" s="155"/>
      <c r="AF10" s="155"/>
      <c r="AG10" s="155"/>
      <c r="AH10" s="155"/>
      <c r="AJ10" s="155"/>
      <c r="AK10" s="155"/>
      <c r="AL10" s="155"/>
      <c r="AM10" s="155"/>
      <c r="AN10" s="155"/>
    </row>
    <row r="11" spans="1:45" ht="409.6" hidden="1" customHeight="1" x14ac:dyDescent="0.25"/>
    <row r="12" spans="1:45" ht="21.2" customHeight="1" x14ac:dyDescent="0.25"/>
    <row r="13" spans="1:45" ht="409.6" hidden="1" customHeight="1" x14ac:dyDescent="0.25"/>
    <row r="14" spans="1:45" ht="7.15" customHeight="1" x14ac:dyDescent="0.25"/>
    <row r="15" spans="1:45" x14ac:dyDescent="0.25">
      <c r="A15" s="162" t="s">
        <v>55</v>
      </c>
      <c r="B15" s="155"/>
      <c r="C15" s="155"/>
      <c r="D15" s="155"/>
      <c r="E15" s="155"/>
      <c r="F15" s="154" t="s">
        <v>56</v>
      </c>
      <c r="G15" s="155"/>
      <c r="H15" s="155"/>
      <c r="I15" s="155"/>
      <c r="J15" s="155"/>
      <c r="K15" s="155"/>
      <c r="L15" s="155"/>
      <c r="M15" s="74" t="s">
        <v>57</v>
      </c>
      <c r="N15" s="74" t="s">
        <v>57</v>
      </c>
      <c r="O15" s="74" t="s">
        <v>57</v>
      </c>
      <c r="P15" s="154" t="s">
        <v>57</v>
      </c>
      <c r="Q15" s="155"/>
      <c r="R15" s="74" t="s">
        <v>57</v>
      </c>
      <c r="S15" s="74" t="s">
        <v>57</v>
      </c>
      <c r="T15" s="74" t="s">
        <v>57</v>
      </c>
      <c r="U15" s="74" t="s">
        <v>57</v>
      </c>
      <c r="V15" s="74" t="s">
        <v>57</v>
      </c>
      <c r="W15" s="74" t="s">
        <v>57</v>
      </c>
      <c r="X15" s="74" t="s">
        <v>57</v>
      </c>
      <c r="Y15" s="165" t="s">
        <v>57</v>
      </c>
      <c r="Z15" s="157"/>
      <c r="AA15" s="75" t="s">
        <v>57</v>
      </c>
      <c r="AB15" s="159" t="s">
        <v>57</v>
      </c>
      <c r="AC15" s="155"/>
      <c r="AD15" s="155"/>
      <c r="AE15" s="75" t="s">
        <v>57</v>
      </c>
      <c r="AF15" s="75" t="s">
        <v>57</v>
      </c>
      <c r="AG15" s="159" t="s">
        <v>57</v>
      </c>
      <c r="AH15" s="155"/>
      <c r="AI15" s="155"/>
      <c r="AJ15" s="75" t="s">
        <v>57</v>
      </c>
      <c r="AK15" s="75" t="s">
        <v>57</v>
      </c>
      <c r="AL15" s="75" t="s">
        <v>57</v>
      </c>
      <c r="AM15" s="75" t="s">
        <v>57</v>
      </c>
      <c r="AN15" s="159" t="s">
        <v>57</v>
      </c>
      <c r="AO15" s="155"/>
      <c r="AQ15" s="75" t="s">
        <v>57</v>
      </c>
      <c r="AR15" s="75" t="s">
        <v>57</v>
      </c>
      <c r="AS15" s="75" t="s">
        <v>57</v>
      </c>
    </row>
    <row r="16" spans="1:45" x14ac:dyDescent="0.25">
      <c r="A16" s="162" t="s">
        <v>58</v>
      </c>
      <c r="B16" s="155"/>
      <c r="C16" s="155"/>
      <c r="D16" s="155"/>
      <c r="E16" s="155"/>
      <c r="F16" s="154" t="s">
        <v>59</v>
      </c>
      <c r="G16" s="155"/>
      <c r="H16" s="155"/>
      <c r="I16" s="155"/>
      <c r="J16" s="155"/>
      <c r="K16" s="155"/>
      <c r="L16" s="155"/>
      <c r="M16" s="74" t="s">
        <v>57</v>
      </c>
      <c r="N16" s="74" t="s">
        <v>57</v>
      </c>
      <c r="O16" s="74" t="s">
        <v>57</v>
      </c>
      <c r="P16" s="154" t="s">
        <v>57</v>
      </c>
      <c r="Q16" s="155"/>
      <c r="R16" s="74" t="s">
        <v>57</v>
      </c>
      <c r="S16" s="74" t="s">
        <v>57</v>
      </c>
      <c r="T16" s="74" t="s">
        <v>57</v>
      </c>
      <c r="U16" s="74" t="s">
        <v>57</v>
      </c>
      <c r="V16" s="74" t="s">
        <v>57</v>
      </c>
      <c r="W16" s="74" t="s">
        <v>57</v>
      </c>
      <c r="X16" s="74" t="s">
        <v>57</v>
      </c>
      <c r="Y16" s="159" t="s">
        <v>57</v>
      </c>
      <c r="Z16" s="155"/>
      <c r="AA16" s="75" t="s">
        <v>57</v>
      </c>
      <c r="AB16" s="159" t="s">
        <v>57</v>
      </c>
      <c r="AC16" s="155"/>
      <c r="AD16" s="155"/>
      <c r="AE16" s="75" t="s">
        <v>57</v>
      </c>
      <c r="AF16" s="75" t="s">
        <v>57</v>
      </c>
      <c r="AG16" s="159" t="s">
        <v>57</v>
      </c>
      <c r="AH16" s="155"/>
      <c r="AI16" s="155"/>
      <c r="AJ16" s="75" t="s">
        <v>57</v>
      </c>
      <c r="AK16" s="75" t="s">
        <v>57</v>
      </c>
      <c r="AL16" s="75" t="s">
        <v>57</v>
      </c>
      <c r="AM16" s="75" t="s">
        <v>57</v>
      </c>
      <c r="AN16" s="159" t="s">
        <v>57</v>
      </c>
      <c r="AO16" s="155"/>
      <c r="AQ16" s="75" t="s">
        <v>57</v>
      </c>
      <c r="AR16" s="75" t="s">
        <v>57</v>
      </c>
      <c r="AS16" s="75" t="s">
        <v>57</v>
      </c>
    </row>
    <row r="17" spans="1:45" x14ac:dyDescent="0.25">
      <c r="A17" s="162" t="s">
        <v>60</v>
      </c>
      <c r="B17" s="155"/>
      <c r="C17" s="155"/>
      <c r="D17" s="155"/>
      <c r="E17" s="155"/>
      <c r="F17" s="154" t="s">
        <v>61</v>
      </c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Q17" s="75" t="s">
        <v>57</v>
      </c>
      <c r="AR17" s="75" t="s">
        <v>57</v>
      </c>
      <c r="AS17" s="75" t="s">
        <v>57</v>
      </c>
    </row>
    <row r="18" spans="1:45" x14ac:dyDescent="0.25">
      <c r="A18" s="162" t="s">
        <v>62</v>
      </c>
      <c r="B18" s="155"/>
      <c r="C18" s="155"/>
      <c r="D18" s="155"/>
      <c r="E18" s="155"/>
      <c r="F18" s="154" t="s">
        <v>63</v>
      </c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75" t="s">
        <v>57</v>
      </c>
      <c r="AB18" s="161" t="s">
        <v>64</v>
      </c>
      <c r="AC18" s="158"/>
      <c r="AD18" s="158"/>
      <c r="AE18" s="157"/>
      <c r="AF18" s="154" t="s">
        <v>65</v>
      </c>
      <c r="AG18" s="155"/>
      <c r="AH18" s="155"/>
      <c r="AI18" s="155"/>
      <c r="AJ18" s="75" t="s">
        <v>57</v>
      </c>
      <c r="AK18" s="75" t="s">
        <v>57</v>
      </c>
      <c r="AL18" s="75" t="s">
        <v>57</v>
      </c>
      <c r="AM18" s="75" t="s">
        <v>57</v>
      </c>
      <c r="AN18" s="159" t="s">
        <v>57</v>
      </c>
      <c r="AO18" s="155"/>
      <c r="AQ18" s="75" t="s">
        <v>57</v>
      </c>
      <c r="AR18" s="75" t="s">
        <v>57</v>
      </c>
      <c r="AS18" s="75" t="s">
        <v>57</v>
      </c>
    </row>
    <row r="19" spans="1:45" x14ac:dyDescent="0.25">
      <c r="A19" s="162" t="s">
        <v>66</v>
      </c>
      <c r="B19" s="155"/>
      <c r="C19" s="155"/>
      <c r="D19" s="155"/>
      <c r="E19" s="155"/>
      <c r="F19" s="154" t="s">
        <v>67</v>
      </c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75" t="s">
        <v>57</v>
      </c>
      <c r="AB19" s="161" t="s">
        <v>68</v>
      </c>
      <c r="AC19" s="158"/>
      <c r="AD19" s="158"/>
      <c r="AE19" s="157"/>
      <c r="AF19" s="154" t="s">
        <v>69</v>
      </c>
      <c r="AG19" s="155"/>
      <c r="AH19" s="155"/>
      <c r="AI19" s="155"/>
      <c r="AJ19" s="75" t="s">
        <v>57</v>
      </c>
      <c r="AK19" s="75" t="s">
        <v>57</v>
      </c>
      <c r="AL19" s="75" t="s">
        <v>57</v>
      </c>
      <c r="AM19" s="75" t="s">
        <v>57</v>
      </c>
      <c r="AN19" s="159" t="s">
        <v>57</v>
      </c>
      <c r="AO19" s="155"/>
      <c r="AQ19" s="75" t="s">
        <v>57</v>
      </c>
      <c r="AR19" s="75" t="s">
        <v>57</v>
      </c>
      <c r="AS19" s="75" t="s">
        <v>57</v>
      </c>
    </row>
    <row r="20" spans="1:45" x14ac:dyDescent="0.25">
      <c r="A20" s="74" t="s">
        <v>57</v>
      </c>
      <c r="B20" s="75" t="s">
        <v>57</v>
      </c>
      <c r="C20" s="75" t="s">
        <v>57</v>
      </c>
      <c r="D20" s="75" t="s">
        <v>57</v>
      </c>
      <c r="E20" s="75" t="s">
        <v>57</v>
      </c>
      <c r="F20" s="75" t="s">
        <v>57</v>
      </c>
      <c r="G20" s="74" t="s">
        <v>57</v>
      </c>
      <c r="H20" s="74" t="s">
        <v>57</v>
      </c>
      <c r="I20" s="74" t="s">
        <v>57</v>
      </c>
      <c r="K20" s="154" t="s">
        <v>57</v>
      </c>
      <c r="L20" s="155"/>
      <c r="M20" s="74" t="s">
        <v>57</v>
      </c>
      <c r="N20" s="74" t="s">
        <v>57</v>
      </c>
      <c r="O20" s="74" t="s">
        <v>57</v>
      </c>
      <c r="P20" s="154" t="s">
        <v>57</v>
      </c>
      <c r="Q20" s="155"/>
      <c r="R20" s="74" t="s">
        <v>57</v>
      </c>
      <c r="S20" s="74" t="s">
        <v>57</v>
      </c>
      <c r="T20" s="74" t="s">
        <v>57</v>
      </c>
      <c r="U20" s="74" t="s">
        <v>57</v>
      </c>
      <c r="V20" s="74" t="s">
        <v>57</v>
      </c>
      <c r="W20" s="74" t="s">
        <v>57</v>
      </c>
      <c r="X20" s="74" t="s">
        <v>57</v>
      </c>
      <c r="Y20" s="154" t="s">
        <v>57</v>
      </c>
      <c r="Z20" s="155"/>
      <c r="AA20" s="75" t="s">
        <v>57</v>
      </c>
      <c r="AB20" s="159" t="s">
        <v>57</v>
      </c>
      <c r="AC20" s="155"/>
      <c r="AD20" s="155"/>
      <c r="AE20" s="75" t="s">
        <v>57</v>
      </c>
      <c r="AF20" s="75" t="s">
        <v>57</v>
      </c>
      <c r="AG20" s="159" t="s">
        <v>57</v>
      </c>
      <c r="AH20" s="155"/>
      <c r="AI20" s="155"/>
      <c r="AJ20" s="75" t="s">
        <v>57</v>
      </c>
      <c r="AK20" s="75" t="s">
        <v>57</v>
      </c>
      <c r="AL20" s="75" t="s">
        <v>57</v>
      </c>
      <c r="AM20" s="75" t="s">
        <v>57</v>
      </c>
      <c r="AN20" s="159" t="s">
        <v>57</v>
      </c>
      <c r="AO20" s="155"/>
      <c r="AQ20" s="75" t="s">
        <v>57</v>
      </c>
      <c r="AR20" s="75" t="s">
        <v>57</v>
      </c>
      <c r="AS20" s="75" t="s">
        <v>57</v>
      </c>
    </row>
    <row r="21" spans="1:45" ht="55.5" x14ac:dyDescent="0.25">
      <c r="A21" s="76" t="s">
        <v>70</v>
      </c>
      <c r="B21" s="76" t="s">
        <v>71</v>
      </c>
      <c r="C21" s="76" t="s">
        <v>72</v>
      </c>
      <c r="D21" s="76" t="s">
        <v>73</v>
      </c>
      <c r="E21" s="76" t="s">
        <v>74</v>
      </c>
      <c r="F21" s="76" t="s">
        <v>75</v>
      </c>
      <c r="G21" s="76" t="s">
        <v>76</v>
      </c>
      <c r="H21" s="76" t="s">
        <v>77</v>
      </c>
      <c r="I21" s="76" t="s">
        <v>78</v>
      </c>
      <c r="K21" s="160" t="s">
        <v>79</v>
      </c>
      <c r="L21" s="157"/>
      <c r="M21" s="76" t="s">
        <v>80</v>
      </c>
      <c r="N21" s="76" t="s">
        <v>81</v>
      </c>
      <c r="O21" s="76" t="s">
        <v>82</v>
      </c>
      <c r="P21" s="160" t="s">
        <v>83</v>
      </c>
      <c r="Q21" s="157"/>
      <c r="R21" s="76" t="s">
        <v>84</v>
      </c>
      <c r="S21" s="76" t="s">
        <v>85</v>
      </c>
      <c r="T21" s="76" t="s">
        <v>86</v>
      </c>
      <c r="U21" s="76" t="s">
        <v>87</v>
      </c>
      <c r="V21" s="76" t="s">
        <v>88</v>
      </c>
      <c r="W21" s="76" t="s">
        <v>89</v>
      </c>
      <c r="X21" s="76" t="s">
        <v>57</v>
      </c>
      <c r="Y21" s="161" t="s">
        <v>3</v>
      </c>
      <c r="Z21" s="157"/>
      <c r="AA21" s="77" t="s">
        <v>90</v>
      </c>
      <c r="AB21" s="161" t="s">
        <v>91</v>
      </c>
      <c r="AC21" s="158"/>
      <c r="AD21" s="157"/>
      <c r="AE21" s="77" t="s">
        <v>92</v>
      </c>
      <c r="AF21" s="77" t="s">
        <v>93</v>
      </c>
      <c r="AG21" s="161" t="s">
        <v>94</v>
      </c>
      <c r="AH21" s="158"/>
      <c r="AI21" s="157"/>
      <c r="AJ21" s="77" t="s">
        <v>95</v>
      </c>
      <c r="AK21" s="77" t="s">
        <v>96</v>
      </c>
      <c r="AL21" s="77" t="s">
        <v>97</v>
      </c>
      <c r="AM21" s="77" t="s">
        <v>98</v>
      </c>
      <c r="AN21" s="161" t="s">
        <v>99</v>
      </c>
      <c r="AO21" s="157"/>
      <c r="AQ21" s="77" t="s">
        <v>100</v>
      </c>
      <c r="AR21" s="77" t="s">
        <v>101</v>
      </c>
      <c r="AS21" s="77" t="s">
        <v>102</v>
      </c>
    </row>
    <row r="22" spans="1:45" ht="24.75" x14ac:dyDescent="0.25">
      <c r="A22" s="74" t="s">
        <v>103</v>
      </c>
      <c r="B22" s="74"/>
      <c r="C22" s="74"/>
      <c r="D22" s="74"/>
      <c r="E22" s="74"/>
      <c r="F22" s="74"/>
      <c r="G22" s="74"/>
      <c r="H22" s="74"/>
      <c r="I22" s="74"/>
      <c r="K22" s="154"/>
      <c r="L22" s="155"/>
      <c r="M22" s="74"/>
      <c r="N22" s="74"/>
      <c r="O22" s="74"/>
      <c r="P22" s="154"/>
      <c r="Q22" s="155"/>
      <c r="R22" s="74"/>
      <c r="S22" s="74"/>
      <c r="T22" s="74"/>
      <c r="U22" s="74"/>
      <c r="V22" s="74"/>
      <c r="W22" s="74"/>
      <c r="X22" s="75" t="s">
        <v>57</v>
      </c>
      <c r="Y22" s="156" t="s">
        <v>13</v>
      </c>
      <c r="Z22" s="157"/>
      <c r="AA22" s="78" t="s">
        <v>104</v>
      </c>
      <c r="AB22" s="156" t="s">
        <v>105</v>
      </c>
      <c r="AC22" s="158"/>
      <c r="AD22" s="157"/>
      <c r="AE22" s="78" t="s">
        <v>105</v>
      </c>
      <c r="AF22" s="78" t="s">
        <v>104</v>
      </c>
      <c r="AG22" s="156" t="s">
        <v>106</v>
      </c>
      <c r="AH22" s="158"/>
      <c r="AI22" s="157"/>
      <c r="AJ22" s="78" t="s">
        <v>105</v>
      </c>
      <c r="AK22" s="78" t="s">
        <v>106</v>
      </c>
      <c r="AL22" s="78" t="s">
        <v>105</v>
      </c>
      <c r="AM22" s="74" t="s">
        <v>105</v>
      </c>
      <c r="AN22" s="154" t="s">
        <v>105</v>
      </c>
      <c r="AO22" s="155"/>
      <c r="AQ22" s="74" t="s">
        <v>105</v>
      </c>
      <c r="AR22" s="74" t="s">
        <v>106</v>
      </c>
      <c r="AS22" s="74" t="s">
        <v>107</v>
      </c>
    </row>
    <row r="23" spans="1:45" ht="24.75" x14ac:dyDescent="0.25">
      <c r="A23" s="74" t="s">
        <v>103</v>
      </c>
      <c r="B23" s="74" t="s">
        <v>108</v>
      </c>
      <c r="C23" s="74"/>
      <c r="D23" s="74"/>
      <c r="E23" s="74"/>
      <c r="F23" s="74"/>
      <c r="G23" s="74"/>
      <c r="H23" s="74"/>
      <c r="I23" s="74"/>
      <c r="K23" s="154"/>
      <c r="L23" s="155"/>
      <c r="M23" s="74"/>
      <c r="N23" s="74"/>
      <c r="O23" s="74"/>
      <c r="P23" s="154"/>
      <c r="Q23" s="155"/>
      <c r="R23" s="74"/>
      <c r="S23" s="74"/>
      <c r="T23" s="74"/>
      <c r="U23" s="74"/>
      <c r="V23" s="74"/>
      <c r="W23" s="74"/>
      <c r="X23" s="75" t="s">
        <v>57</v>
      </c>
      <c r="Y23" s="156" t="s">
        <v>13</v>
      </c>
      <c r="Z23" s="157"/>
      <c r="AA23" s="78" t="s">
        <v>104</v>
      </c>
      <c r="AB23" s="156" t="s">
        <v>105</v>
      </c>
      <c r="AC23" s="158"/>
      <c r="AD23" s="157"/>
      <c r="AE23" s="78" t="s">
        <v>105</v>
      </c>
      <c r="AF23" s="78" t="s">
        <v>104</v>
      </c>
      <c r="AG23" s="156" t="s">
        <v>106</v>
      </c>
      <c r="AH23" s="158"/>
      <c r="AI23" s="157"/>
      <c r="AJ23" s="78" t="s">
        <v>105</v>
      </c>
      <c r="AK23" s="78" t="s">
        <v>106</v>
      </c>
      <c r="AL23" s="78" t="s">
        <v>105</v>
      </c>
      <c r="AM23" s="74" t="s">
        <v>105</v>
      </c>
      <c r="AN23" s="154" t="s">
        <v>105</v>
      </c>
      <c r="AO23" s="155"/>
      <c r="AQ23" s="74" t="s">
        <v>105</v>
      </c>
      <c r="AR23" s="74" t="s">
        <v>106</v>
      </c>
      <c r="AS23" s="74" t="s">
        <v>107</v>
      </c>
    </row>
    <row r="24" spans="1:45" ht="24.75" x14ac:dyDescent="0.25">
      <c r="A24" s="74" t="s">
        <v>103</v>
      </c>
      <c r="B24" s="74" t="s">
        <v>108</v>
      </c>
      <c r="C24" s="74" t="s">
        <v>109</v>
      </c>
      <c r="D24" s="74"/>
      <c r="E24" s="74"/>
      <c r="F24" s="74"/>
      <c r="G24" s="74"/>
      <c r="H24" s="74"/>
      <c r="I24" s="74"/>
      <c r="K24" s="154"/>
      <c r="L24" s="155"/>
      <c r="M24" s="74"/>
      <c r="N24" s="74"/>
      <c r="O24" s="74"/>
      <c r="P24" s="154"/>
      <c r="Q24" s="155"/>
      <c r="R24" s="74"/>
      <c r="S24" s="74"/>
      <c r="T24" s="74"/>
      <c r="U24" s="74"/>
      <c r="V24" s="74"/>
      <c r="W24" s="74"/>
      <c r="X24" s="75" t="s">
        <v>57</v>
      </c>
      <c r="Y24" s="156" t="s">
        <v>13</v>
      </c>
      <c r="Z24" s="157"/>
      <c r="AA24" s="78" t="s">
        <v>104</v>
      </c>
      <c r="AB24" s="156" t="s">
        <v>105</v>
      </c>
      <c r="AC24" s="158"/>
      <c r="AD24" s="157"/>
      <c r="AE24" s="78" t="s">
        <v>105</v>
      </c>
      <c r="AF24" s="78" t="s">
        <v>104</v>
      </c>
      <c r="AG24" s="156" t="s">
        <v>106</v>
      </c>
      <c r="AH24" s="158"/>
      <c r="AI24" s="157"/>
      <c r="AJ24" s="78" t="s">
        <v>105</v>
      </c>
      <c r="AK24" s="78" t="s">
        <v>106</v>
      </c>
      <c r="AL24" s="78" t="s">
        <v>105</v>
      </c>
      <c r="AM24" s="74" t="s">
        <v>105</v>
      </c>
      <c r="AN24" s="154" t="s">
        <v>105</v>
      </c>
      <c r="AO24" s="155"/>
      <c r="AQ24" s="74" t="s">
        <v>105</v>
      </c>
      <c r="AR24" s="74" t="s">
        <v>106</v>
      </c>
      <c r="AS24" s="74" t="s">
        <v>107</v>
      </c>
    </row>
    <row r="25" spans="1:45" ht="24.75" x14ac:dyDescent="0.25">
      <c r="A25" s="74" t="s">
        <v>103</v>
      </c>
      <c r="B25" s="74" t="s">
        <v>108</v>
      </c>
      <c r="C25" s="74" t="s">
        <v>109</v>
      </c>
      <c r="D25" s="74" t="s">
        <v>108</v>
      </c>
      <c r="E25" s="74"/>
      <c r="F25" s="74"/>
      <c r="G25" s="74"/>
      <c r="H25" s="74"/>
      <c r="I25" s="74"/>
      <c r="K25" s="154"/>
      <c r="L25" s="155"/>
      <c r="M25" s="74"/>
      <c r="N25" s="74"/>
      <c r="O25" s="74"/>
      <c r="P25" s="154"/>
      <c r="Q25" s="155"/>
      <c r="R25" s="74"/>
      <c r="S25" s="74"/>
      <c r="T25" s="74"/>
      <c r="U25" s="74"/>
      <c r="V25" s="74"/>
      <c r="W25" s="74"/>
      <c r="X25" s="75" t="s">
        <v>57</v>
      </c>
      <c r="Y25" s="156" t="s">
        <v>17</v>
      </c>
      <c r="Z25" s="157"/>
      <c r="AA25" s="78" t="s">
        <v>110</v>
      </c>
      <c r="AB25" s="156" t="s">
        <v>105</v>
      </c>
      <c r="AC25" s="158"/>
      <c r="AD25" s="157"/>
      <c r="AE25" s="78" t="s">
        <v>105</v>
      </c>
      <c r="AF25" s="78" t="s">
        <v>110</v>
      </c>
      <c r="AG25" s="156" t="s">
        <v>111</v>
      </c>
      <c r="AH25" s="158"/>
      <c r="AI25" s="157"/>
      <c r="AJ25" s="78" t="s">
        <v>105</v>
      </c>
      <c r="AK25" s="78" t="s">
        <v>111</v>
      </c>
      <c r="AL25" s="78" t="s">
        <v>105</v>
      </c>
      <c r="AM25" s="74" t="s">
        <v>105</v>
      </c>
      <c r="AN25" s="154" t="s">
        <v>105</v>
      </c>
      <c r="AO25" s="155"/>
      <c r="AQ25" s="74" t="s">
        <v>105</v>
      </c>
      <c r="AR25" s="74" t="s">
        <v>111</v>
      </c>
      <c r="AS25" s="74" t="s">
        <v>112</v>
      </c>
    </row>
    <row r="26" spans="1:45" ht="24.75" x14ac:dyDescent="0.25">
      <c r="A26" s="74" t="s">
        <v>103</v>
      </c>
      <c r="B26" s="74" t="s">
        <v>108</v>
      </c>
      <c r="C26" s="74" t="s">
        <v>109</v>
      </c>
      <c r="D26" s="74" t="s">
        <v>108</v>
      </c>
      <c r="E26" s="74" t="s">
        <v>113</v>
      </c>
      <c r="F26" s="74"/>
      <c r="G26" s="74"/>
      <c r="H26" s="74"/>
      <c r="I26" s="74"/>
      <c r="K26" s="154"/>
      <c r="L26" s="155"/>
      <c r="M26" s="74"/>
      <c r="N26" s="74"/>
      <c r="O26" s="74"/>
      <c r="P26" s="154"/>
      <c r="Q26" s="155"/>
      <c r="R26" s="74"/>
      <c r="S26" s="74"/>
      <c r="T26" s="74"/>
      <c r="U26" s="74"/>
      <c r="V26" s="74"/>
      <c r="W26" s="74"/>
      <c r="X26" s="75" t="s">
        <v>57</v>
      </c>
      <c r="Y26" s="156" t="s">
        <v>19</v>
      </c>
      <c r="Z26" s="157"/>
      <c r="AA26" s="78" t="s">
        <v>110</v>
      </c>
      <c r="AB26" s="156" t="s">
        <v>105</v>
      </c>
      <c r="AC26" s="158"/>
      <c r="AD26" s="157"/>
      <c r="AE26" s="78" t="s">
        <v>105</v>
      </c>
      <c r="AF26" s="78" t="s">
        <v>110</v>
      </c>
      <c r="AG26" s="156" t="s">
        <v>111</v>
      </c>
      <c r="AH26" s="158"/>
      <c r="AI26" s="157"/>
      <c r="AJ26" s="78" t="s">
        <v>105</v>
      </c>
      <c r="AK26" s="78" t="s">
        <v>111</v>
      </c>
      <c r="AL26" s="78" t="s">
        <v>105</v>
      </c>
      <c r="AM26" s="74" t="s">
        <v>105</v>
      </c>
      <c r="AN26" s="154" t="s">
        <v>105</v>
      </c>
      <c r="AO26" s="155"/>
      <c r="AQ26" s="74" t="s">
        <v>105</v>
      </c>
      <c r="AR26" s="74" t="s">
        <v>111</v>
      </c>
      <c r="AS26" s="74" t="s">
        <v>112</v>
      </c>
    </row>
    <row r="27" spans="1:45" ht="16.5" x14ac:dyDescent="0.25">
      <c r="A27" s="74" t="s">
        <v>103</v>
      </c>
      <c r="B27" s="74" t="s">
        <v>108</v>
      </c>
      <c r="C27" s="74" t="s">
        <v>109</v>
      </c>
      <c r="D27" s="74" t="s">
        <v>108</v>
      </c>
      <c r="E27" s="74" t="s">
        <v>113</v>
      </c>
      <c r="F27" s="74" t="s">
        <v>103</v>
      </c>
      <c r="G27" s="74"/>
      <c r="H27" s="74"/>
      <c r="I27" s="74"/>
      <c r="K27" s="154"/>
      <c r="L27" s="155"/>
      <c r="M27" s="74"/>
      <c r="N27" s="74"/>
      <c r="O27" s="74"/>
      <c r="P27" s="154"/>
      <c r="Q27" s="155"/>
      <c r="R27" s="74"/>
      <c r="S27" s="74"/>
      <c r="T27" s="74"/>
      <c r="U27" s="74"/>
      <c r="V27" s="74"/>
      <c r="W27" s="74"/>
      <c r="X27" s="75" t="s">
        <v>57</v>
      </c>
      <c r="Y27" s="156" t="s">
        <v>114</v>
      </c>
      <c r="Z27" s="157"/>
      <c r="AA27" s="78" t="s">
        <v>115</v>
      </c>
      <c r="AB27" s="156" t="s">
        <v>105</v>
      </c>
      <c r="AC27" s="158"/>
      <c r="AD27" s="157"/>
      <c r="AE27" s="78" t="s">
        <v>105</v>
      </c>
      <c r="AF27" s="78" t="s">
        <v>115</v>
      </c>
      <c r="AG27" s="156" t="s">
        <v>116</v>
      </c>
      <c r="AH27" s="158"/>
      <c r="AI27" s="157"/>
      <c r="AJ27" s="78" t="s">
        <v>105</v>
      </c>
      <c r="AK27" s="78" t="s">
        <v>116</v>
      </c>
      <c r="AL27" s="78" t="s">
        <v>105</v>
      </c>
      <c r="AM27" s="74" t="s">
        <v>105</v>
      </c>
      <c r="AN27" s="154" t="s">
        <v>105</v>
      </c>
      <c r="AO27" s="155"/>
      <c r="AQ27" s="74" t="s">
        <v>105</v>
      </c>
      <c r="AR27" s="74" t="s">
        <v>116</v>
      </c>
      <c r="AS27" s="74" t="s">
        <v>117</v>
      </c>
    </row>
    <row r="28" spans="1:45" ht="16.5" x14ac:dyDescent="0.25">
      <c r="A28" s="74" t="s">
        <v>103</v>
      </c>
      <c r="B28" s="74" t="s">
        <v>108</v>
      </c>
      <c r="C28" s="74" t="s">
        <v>109</v>
      </c>
      <c r="D28" s="74" t="s">
        <v>108</v>
      </c>
      <c r="E28" s="74" t="s">
        <v>113</v>
      </c>
      <c r="F28" s="74" t="s">
        <v>103</v>
      </c>
      <c r="G28" s="74" t="s">
        <v>109</v>
      </c>
      <c r="H28" s="74"/>
      <c r="I28" s="74"/>
      <c r="K28" s="154"/>
      <c r="L28" s="155"/>
      <c r="M28" s="74"/>
      <c r="N28" s="74"/>
      <c r="O28" s="74"/>
      <c r="P28" s="154"/>
      <c r="Q28" s="155"/>
      <c r="R28" s="74"/>
      <c r="S28" s="74"/>
      <c r="T28" s="74"/>
      <c r="U28" s="74"/>
      <c r="V28" s="74"/>
      <c r="W28" s="74"/>
      <c r="X28" s="75" t="s">
        <v>57</v>
      </c>
      <c r="Y28" s="156" t="s">
        <v>118</v>
      </c>
      <c r="Z28" s="157"/>
      <c r="AA28" s="78" t="s">
        <v>119</v>
      </c>
      <c r="AB28" s="156" t="s">
        <v>105</v>
      </c>
      <c r="AC28" s="158"/>
      <c r="AD28" s="157"/>
      <c r="AE28" s="78" t="s">
        <v>105</v>
      </c>
      <c r="AF28" s="78" t="s">
        <v>119</v>
      </c>
      <c r="AG28" s="156" t="s">
        <v>120</v>
      </c>
      <c r="AH28" s="158"/>
      <c r="AI28" s="157"/>
      <c r="AJ28" s="78" t="s">
        <v>105</v>
      </c>
      <c r="AK28" s="78" t="s">
        <v>120</v>
      </c>
      <c r="AL28" s="78" t="s">
        <v>105</v>
      </c>
      <c r="AM28" s="74" t="s">
        <v>105</v>
      </c>
      <c r="AN28" s="154" t="s">
        <v>105</v>
      </c>
      <c r="AO28" s="155"/>
      <c r="AQ28" s="74" t="s">
        <v>105</v>
      </c>
      <c r="AR28" s="74" t="s">
        <v>120</v>
      </c>
      <c r="AS28" s="74" t="s">
        <v>117</v>
      </c>
    </row>
    <row r="29" spans="1:45" ht="16.5" x14ac:dyDescent="0.25">
      <c r="A29" s="74" t="s">
        <v>103</v>
      </c>
      <c r="B29" s="74" t="s">
        <v>108</v>
      </c>
      <c r="C29" s="74" t="s">
        <v>109</v>
      </c>
      <c r="D29" s="74" t="s">
        <v>108</v>
      </c>
      <c r="E29" s="74" t="s">
        <v>113</v>
      </c>
      <c r="F29" s="74" t="s">
        <v>103</v>
      </c>
      <c r="G29" s="74" t="s">
        <v>109</v>
      </c>
      <c r="H29" s="74" t="s">
        <v>121</v>
      </c>
      <c r="I29" s="74"/>
      <c r="K29" s="154"/>
      <c r="L29" s="155"/>
      <c r="M29" s="74"/>
      <c r="N29" s="74"/>
      <c r="O29" s="74"/>
      <c r="P29" s="154"/>
      <c r="Q29" s="155"/>
      <c r="R29" s="74"/>
      <c r="S29" s="74"/>
      <c r="T29" s="74"/>
      <c r="U29" s="74"/>
      <c r="V29" s="74"/>
      <c r="W29" s="74"/>
      <c r="X29" s="75" t="s">
        <v>57</v>
      </c>
      <c r="Y29" s="156" t="s">
        <v>122</v>
      </c>
      <c r="Z29" s="157"/>
      <c r="AA29" s="78" t="s">
        <v>123</v>
      </c>
      <c r="AB29" s="156" t="s">
        <v>105</v>
      </c>
      <c r="AC29" s="158"/>
      <c r="AD29" s="157"/>
      <c r="AE29" s="78" t="s">
        <v>105</v>
      </c>
      <c r="AF29" s="78" t="s">
        <v>123</v>
      </c>
      <c r="AG29" s="156" t="s">
        <v>124</v>
      </c>
      <c r="AH29" s="158"/>
      <c r="AI29" s="157"/>
      <c r="AJ29" s="78" t="s">
        <v>105</v>
      </c>
      <c r="AK29" s="78" t="s">
        <v>124</v>
      </c>
      <c r="AL29" s="78" t="s">
        <v>105</v>
      </c>
      <c r="AM29" s="74" t="s">
        <v>105</v>
      </c>
      <c r="AN29" s="154" t="s">
        <v>105</v>
      </c>
      <c r="AO29" s="155"/>
      <c r="AQ29" s="74" t="s">
        <v>105</v>
      </c>
      <c r="AR29" s="74" t="s">
        <v>124</v>
      </c>
      <c r="AS29" s="74" t="s">
        <v>117</v>
      </c>
    </row>
    <row r="30" spans="1:45" ht="16.5" x14ac:dyDescent="0.25">
      <c r="A30" s="74" t="s">
        <v>103</v>
      </c>
      <c r="B30" s="74" t="s">
        <v>108</v>
      </c>
      <c r="C30" s="74" t="s">
        <v>109</v>
      </c>
      <c r="D30" s="74" t="s">
        <v>108</v>
      </c>
      <c r="E30" s="74" t="s">
        <v>113</v>
      </c>
      <c r="F30" s="74" t="s">
        <v>103</v>
      </c>
      <c r="G30" s="74" t="s">
        <v>109</v>
      </c>
      <c r="H30" s="74" t="s">
        <v>125</v>
      </c>
      <c r="I30" s="74"/>
      <c r="K30" s="154"/>
      <c r="L30" s="155"/>
      <c r="M30" s="74"/>
      <c r="N30" s="74"/>
      <c r="O30" s="74"/>
      <c r="P30" s="154"/>
      <c r="Q30" s="155"/>
      <c r="R30" s="74"/>
      <c r="S30" s="74"/>
      <c r="T30" s="74"/>
      <c r="U30" s="74"/>
      <c r="V30" s="74"/>
      <c r="W30" s="74"/>
      <c r="X30" s="75" t="s">
        <v>57</v>
      </c>
      <c r="Y30" s="156" t="s">
        <v>126</v>
      </c>
      <c r="Z30" s="157"/>
      <c r="AA30" s="78" t="s">
        <v>127</v>
      </c>
      <c r="AB30" s="156" t="s">
        <v>105</v>
      </c>
      <c r="AC30" s="158"/>
      <c r="AD30" s="157"/>
      <c r="AE30" s="78" t="s">
        <v>105</v>
      </c>
      <c r="AF30" s="78" t="s">
        <v>127</v>
      </c>
      <c r="AG30" s="156" t="s">
        <v>127</v>
      </c>
      <c r="AH30" s="158"/>
      <c r="AI30" s="157"/>
      <c r="AJ30" s="78" t="s">
        <v>105</v>
      </c>
      <c r="AK30" s="78" t="s">
        <v>127</v>
      </c>
      <c r="AL30" s="78" t="s">
        <v>105</v>
      </c>
      <c r="AM30" s="74" t="s">
        <v>105</v>
      </c>
      <c r="AN30" s="154" t="s">
        <v>105</v>
      </c>
      <c r="AO30" s="155"/>
      <c r="AQ30" s="74" t="s">
        <v>105</v>
      </c>
      <c r="AR30" s="74" t="s">
        <v>127</v>
      </c>
      <c r="AS30" s="74" t="s">
        <v>105</v>
      </c>
    </row>
    <row r="31" spans="1:45" ht="16.5" x14ac:dyDescent="0.25">
      <c r="A31" s="74" t="s">
        <v>103</v>
      </c>
      <c r="B31" s="74" t="s">
        <v>108</v>
      </c>
      <c r="C31" s="74" t="s">
        <v>109</v>
      </c>
      <c r="D31" s="74" t="s">
        <v>108</v>
      </c>
      <c r="E31" s="74" t="s">
        <v>113</v>
      </c>
      <c r="F31" s="74" t="s">
        <v>103</v>
      </c>
      <c r="G31" s="74" t="s">
        <v>109</v>
      </c>
      <c r="H31" s="74" t="s">
        <v>128</v>
      </c>
      <c r="I31" s="74"/>
      <c r="K31" s="154"/>
      <c r="L31" s="155"/>
      <c r="M31" s="74"/>
      <c r="N31" s="74"/>
      <c r="O31" s="74"/>
      <c r="P31" s="154"/>
      <c r="Q31" s="155"/>
      <c r="R31" s="74"/>
      <c r="S31" s="74"/>
      <c r="T31" s="74"/>
      <c r="U31" s="74"/>
      <c r="V31" s="74"/>
      <c r="W31" s="74"/>
      <c r="X31" s="75" t="s">
        <v>57</v>
      </c>
      <c r="Y31" s="156" t="s">
        <v>129</v>
      </c>
      <c r="Z31" s="157"/>
      <c r="AA31" s="78" t="s">
        <v>130</v>
      </c>
      <c r="AB31" s="156" t="s">
        <v>105</v>
      </c>
      <c r="AC31" s="158"/>
      <c r="AD31" s="157"/>
      <c r="AE31" s="78" t="s">
        <v>105</v>
      </c>
      <c r="AF31" s="78" t="s">
        <v>130</v>
      </c>
      <c r="AG31" s="156" t="s">
        <v>130</v>
      </c>
      <c r="AH31" s="158"/>
      <c r="AI31" s="157"/>
      <c r="AJ31" s="78" t="s">
        <v>105</v>
      </c>
      <c r="AK31" s="78" t="s">
        <v>130</v>
      </c>
      <c r="AL31" s="78" t="s">
        <v>105</v>
      </c>
      <c r="AM31" s="74" t="s">
        <v>105</v>
      </c>
      <c r="AN31" s="154" t="s">
        <v>105</v>
      </c>
      <c r="AO31" s="155"/>
      <c r="AQ31" s="74" t="s">
        <v>105</v>
      </c>
      <c r="AR31" s="74" t="s">
        <v>130</v>
      </c>
      <c r="AS31" s="74" t="s">
        <v>105</v>
      </c>
    </row>
    <row r="32" spans="1:45" ht="16.5" x14ac:dyDescent="0.25">
      <c r="A32" s="74" t="s">
        <v>103</v>
      </c>
      <c r="B32" s="74" t="s">
        <v>108</v>
      </c>
      <c r="C32" s="74" t="s">
        <v>109</v>
      </c>
      <c r="D32" s="74" t="s">
        <v>108</v>
      </c>
      <c r="E32" s="74" t="s">
        <v>113</v>
      </c>
      <c r="F32" s="74" t="s">
        <v>103</v>
      </c>
      <c r="G32" s="74" t="s">
        <v>113</v>
      </c>
      <c r="H32" s="74"/>
      <c r="I32" s="74"/>
      <c r="K32" s="154"/>
      <c r="L32" s="155"/>
      <c r="M32" s="74"/>
      <c r="N32" s="74"/>
      <c r="O32" s="74"/>
      <c r="P32" s="154"/>
      <c r="Q32" s="155"/>
      <c r="R32" s="74"/>
      <c r="S32" s="74"/>
      <c r="T32" s="74"/>
      <c r="U32" s="74"/>
      <c r="V32" s="74"/>
      <c r="W32" s="74"/>
      <c r="X32" s="75" t="s">
        <v>57</v>
      </c>
      <c r="Y32" s="156" t="s">
        <v>131</v>
      </c>
      <c r="Z32" s="157"/>
      <c r="AA32" s="78" t="s">
        <v>132</v>
      </c>
      <c r="AB32" s="156" t="s">
        <v>105</v>
      </c>
      <c r="AC32" s="158"/>
      <c r="AD32" s="157"/>
      <c r="AE32" s="78" t="s">
        <v>105</v>
      </c>
      <c r="AF32" s="78" t="s">
        <v>132</v>
      </c>
      <c r="AG32" s="156" t="s">
        <v>132</v>
      </c>
      <c r="AH32" s="158"/>
      <c r="AI32" s="157"/>
      <c r="AJ32" s="78" t="s">
        <v>105</v>
      </c>
      <c r="AK32" s="78" t="s">
        <v>132</v>
      </c>
      <c r="AL32" s="78" t="s">
        <v>105</v>
      </c>
      <c r="AM32" s="74" t="s">
        <v>105</v>
      </c>
      <c r="AN32" s="154" t="s">
        <v>105</v>
      </c>
      <c r="AO32" s="155"/>
      <c r="AQ32" s="74" t="s">
        <v>105</v>
      </c>
      <c r="AR32" s="74" t="s">
        <v>132</v>
      </c>
      <c r="AS32" s="74" t="s">
        <v>105</v>
      </c>
    </row>
    <row r="33" spans="1:45" ht="24.75" x14ac:dyDescent="0.25">
      <c r="A33" s="74" t="s">
        <v>103</v>
      </c>
      <c r="B33" s="74" t="s">
        <v>108</v>
      </c>
      <c r="C33" s="74" t="s">
        <v>109</v>
      </c>
      <c r="D33" s="74" t="s">
        <v>108</v>
      </c>
      <c r="E33" s="74" t="s">
        <v>113</v>
      </c>
      <c r="F33" s="74" t="s">
        <v>133</v>
      </c>
      <c r="G33" s="74"/>
      <c r="H33" s="74"/>
      <c r="I33" s="74"/>
      <c r="K33" s="154"/>
      <c r="L33" s="155"/>
      <c r="M33" s="74"/>
      <c r="N33" s="74"/>
      <c r="O33" s="74"/>
      <c r="P33" s="154"/>
      <c r="Q33" s="155"/>
      <c r="R33" s="74"/>
      <c r="S33" s="74"/>
      <c r="T33" s="74"/>
      <c r="U33" s="74"/>
      <c r="V33" s="74"/>
      <c r="W33" s="74"/>
      <c r="X33" s="75" t="s">
        <v>57</v>
      </c>
      <c r="Y33" s="156" t="s">
        <v>134</v>
      </c>
      <c r="Z33" s="157"/>
      <c r="AA33" s="78" t="s">
        <v>135</v>
      </c>
      <c r="AB33" s="156" t="s">
        <v>105</v>
      </c>
      <c r="AC33" s="158"/>
      <c r="AD33" s="157"/>
      <c r="AE33" s="78" t="s">
        <v>105</v>
      </c>
      <c r="AF33" s="78" t="s">
        <v>135</v>
      </c>
      <c r="AG33" s="156" t="s">
        <v>136</v>
      </c>
      <c r="AH33" s="158"/>
      <c r="AI33" s="157"/>
      <c r="AJ33" s="78" t="s">
        <v>105</v>
      </c>
      <c r="AK33" s="78" t="s">
        <v>136</v>
      </c>
      <c r="AL33" s="78" t="s">
        <v>105</v>
      </c>
      <c r="AM33" s="74" t="s">
        <v>105</v>
      </c>
      <c r="AN33" s="154" t="s">
        <v>105</v>
      </c>
      <c r="AO33" s="155"/>
      <c r="AQ33" s="74" t="s">
        <v>105</v>
      </c>
      <c r="AR33" s="74" t="s">
        <v>136</v>
      </c>
      <c r="AS33" s="74" t="s">
        <v>137</v>
      </c>
    </row>
    <row r="34" spans="1:45" ht="16.5" x14ac:dyDescent="0.25">
      <c r="A34" s="74" t="s">
        <v>103</v>
      </c>
      <c r="B34" s="74" t="s">
        <v>108</v>
      </c>
      <c r="C34" s="74" t="s">
        <v>109</v>
      </c>
      <c r="D34" s="74" t="s">
        <v>108</v>
      </c>
      <c r="E34" s="74" t="s">
        <v>113</v>
      </c>
      <c r="F34" s="74" t="s">
        <v>133</v>
      </c>
      <c r="G34" s="74" t="s">
        <v>109</v>
      </c>
      <c r="H34" s="74"/>
      <c r="I34" s="74"/>
      <c r="K34" s="154"/>
      <c r="L34" s="155"/>
      <c r="M34" s="74"/>
      <c r="N34" s="74"/>
      <c r="O34" s="74"/>
      <c r="P34" s="154"/>
      <c r="Q34" s="155"/>
      <c r="R34" s="74"/>
      <c r="S34" s="74"/>
      <c r="T34" s="74"/>
      <c r="U34" s="74"/>
      <c r="V34" s="74"/>
      <c r="W34" s="74"/>
      <c r="X34" s="75" t="s">
        <v>57</v>
      </c>
      <c r="Y34" s="156" t="s">
        <v>138</v>
      </c>
      <c r="Z34" s="157"/>
      <c r="AA34" s="78" t="s">
        <v>139</v>
      </c>
      <c r="AB34" s="156" t="s">
        <v>105</v>
      </c>
      <c r="AC34" s="158"/>
      <c r="AD34" s="157"/>
      <c r="AE34" s="78" t="s">
        <v>105</v>
      </c>
      <c r="AF34" s="78" t="s">
        <v>139</v>
      </c>
      <c r="AG34" s="156" t="s">
        <v>140</v>
      </c>
      <c r="AH34" s="158"/>
      <c r="AI34" s="157"/>
      <c r="AJ34" s="78" t="s">
        <v>105</v>
      </c>
      <c r="AK34" s="78" t="s">
        <v>140</v>
      </c>
      <c r="AL34" s="78" t="s">
        <v>105</v>
      </c>
      <c r="AM34" s="74" t="s">
        <v>105</v>
      </c>
      <c r="AN34" s="154" t="s">
        <v>105</v>
      </c>
      <c r="AO34" s="155"/>
      <c r="AQ34" s="74" t="s">
        <v>105</v>
      </c>
      <c r="AR34" s="74" t="s">
        <v>140</v>
      </c>
      <c r="AS34" s="74" t="s">
        <v>141</v>
      </c>
    </row>
    <row r="35" spans="1:45" ht="16.5" x14ac:dyDescent="0.25">
      <c r="A35" s="74" t="s">
        <v>103</v>
      </c>
      <c r="B35" s="74" t="s">
        <v>108</v>
      </c>
      <c r="C35" s="74" t="s">
        <v>109</v>
      </c>
      <c r="D35" s="74" t="s">
        <v>108</v>
      </c>
      <c r="E35" s="74" t="s">
        <v>113</v>
      </c>
      <c r="F35" s="74" t="s">
        <v>133</v>
      </c>
      <c r="G35" s="74" t="s">
        <v>109</v>
      </c>
      <c r="H35" s="74" t="s">
        <v>142</v>
      </c>
      <c r="I35" s="74"/>
      <c r="K35" s="154"/>
      <c r="L35" s="155"/>
      <c r="M35" s="74"/>
      <c r="N35" s="74"/>
      <c r="O35" s="74"/>
      <c r="P35" s="154"/>
      <c r="Q35" s="155"/>
      <c r="R35" s="74"/>
      <c r="S35" s="74"/>
      <c r="T35" s="74"/>
      <c r="U35" s="74"/>
      <c r="V35" s="74"/>
      <c r="W35" s="74"/>
      <c r="X35" s="75" t="s">
        <v>57</v>
      </c>
      <c r="Y35" s="156" t="s">
        <v>143</v>
      </c>
      <c r="Z35" s="157"/>
      <c r="AA35" s="78" t="s">
        <v>139</v>
      </c>
      <c r="AB35" s="156" t="s">
        <v>105</v>
      </c>
      <c r="AC35" s="158"/>
      <c r="AD35" s="157"/>
      <c r="AE35" s="78" t="s">
        <v>105</v>
      </c>
      <c r="AF35" s="78" t="s">
        <v>139</v>
      </c>
      <c r="AG35" s="156" t="s">
        <v>140</v>
      </c>
      <c r="AH35" s="158"/>
      <c r="AI35" s="157"/>
      <c r="AJ35" s="78" t="s">
        <v>105</v>
      </c>
      <c r="AK35" s="78" t="s">
        <v>140</v>
      </c>
      <c r="AL35" s="78" t="s">
        <v>105</v>
      </c>
      <c r="AM35" s="74" t="s">
        <v>105</v>
      </c>
      <c r="AN35" s="154" t="s">
        <v>105</v>
      </c>
      <c r="AO35" s="155"/>
      <c r="AQ35" s="74" t="s">
        <v>105</v>
      </c>
      <c r="AR35" s="74" t="s">
        <v>140</v>
      </c>
      <c r="AS35" s="74" t="s">
        <v>141</v>
      </c>
    </row>
    <row r="36" spans="1:45" ht="16.5" x14ac:dyDescent="0.25">
      <c r="A36" s="74" t="s">
        <v>103</v>
      </c>
      <c r="B36" s="74" t="s">
        <v>108</v>
      </c>
      <c r="C36" s="74" t="s">
        <v>109</v>
      </c>
      <c r="D36" s="74" t="s">
        <v>108</v>
      </c>
      <c r="E36" s="74" t="s">
        <v>113</v>
      </c>
      <c r="F36" s="74" t="s">
        <v>133</v>
      </c>
      <c r="G36" s="74" t="s">
        <v>109</v>
      </c>
      <c r="H36" s="74" t="s">
        <v>142</v>
      </c>
      <c r="I36" s="74" t="s">
        <v>108</v>
      </c>
      <c r="K36" s="154"/>
      <c r="L36" s="155"/>
      <c r="M36" s="74"/>
      <c r="N36" s="74"/>
      <c r="O36" s="74"/>
      <c r="P36" s="154"/>
      <c r="Q36" s="155"/>
      <c r="R36" s="74"/>
      <c r="S36" s="74"/>
      <c r="T36" s="74"/>
      <c r="U36" s="74"/>
      <c r="V36" s="74"/>
      <c r="W36" s="74"/>
      <c r="X36" s="75" t="s">
        <v>57</v>
      </c>
      <c r="Y36" s="156" t="s">
        <v>144</v>
      </c>
      <c r="Z36" s="157"/>
      <c r="AA36" s="78" t="s">
        <v>139</v>
      </c>
      <c r="AB36" s="156" t="s">
        <v>105</v>
      </c>
      <c r="AC36" s="158"/>
      <c r="AD36" s="157"/>
      <c r="AE36" s="78" t="s">
        <v>105</v>
      </c>
      <c r="AF36" s="78" t="s">
        <v>139</v>
      </c>
      <c r="AG36" s="156" t="s">
        <v>140</v>
      </c>
      <c r="AH36" s="158"/>
      <c r="AI36" s="157"/>
      <c r="AJ36" s="78" t="s">
        <v>105</v>
      </c>
      <c r="AK36" s="78" t="s">
        <v>140</v>
      </c>
      <c r="AL36" s="78" t="s">
        <v>105</v>
      </c>
      <c r="AM36" s="74" t="s">
        <v>105</v>
      </c>
      <c r="AN36" s="154" t="s">
        <v>105</v>
      </c>
      <c r="AO36" s="155"/>
      <c r="AQ36" s="74" t="s">
        <v>105</v>
      </c>
      <c r="AR36" s="74" t="s">
        <v>140</v>
      </c>
      <c r="AS36" s="74" t="s">
        <v>141</v>
      </c>
    </row>
    <row r="37" spans="1:45" ht="16.5" x14ac:dyDescent="0.25">
      <c r="A37" s="74" t="s">
        <v>103</v>
      </c>
      <c r="B37" s="74" t="s">
        <v>108</v>
      </c>
      <c r="C37" s="74" t="s">
        <v>109</v>
      </c>
      <c r="D37" s="74" t="s">
        <v>108</v>
      </c>
      <c r="E37" s="74" t="s">
        <v>113</v>
      </c>
      <c r="F37" s="74" t="s">
        <v>133</v>
      </c>
      <c r="G37" s="74" t="s">
        <v>109</v>
      </c>
      <c r="H37" s="74" t="s">
        <v>142</v>
      </c>
      <c r="I37" s="74" t="s">
        <v>108</v>
      </c>
      <c r="K37" s="154" t="s">
        <v>133</v>
      </c>
      <c r="L37" s="155"/>
      <c r="M37" s="74"/>
      <c r="N37" s="74"/>
      <c r="O37" s="74"/>
      <c r="P37" s="154"/>
      <c r="Q37" s="155"/>
      <c r="R37" s="74"/>
      <c r="S37" s="74"/>
      <c r="T37" s="74"/>
      <c r="U37" s="74"/>
      <c r="V37" s="74"/>
      <c r="W37" s="74"/>
      <c r="X37" s="75" t="s">
        <v>57</v>
      </c>
      <c r="Y37" s="156" t="s">
        <v>145</v>
      </c>
      <c r="Z37" s="157"/>
      <c r="AA37" s="78" t="s">
        <v>139</v>
      </c>
      <c r="AB37" s="156" t="s">
        <v>105</v>
      </c>
      <c r="AC37" s="158"/>
      <c r="AD37" s="157"/>
      <c r="AE37" s="78" t="s">
        <v>105</v>
      </c>
      <c r="AF37" s="78" t="s">
        <v>139</v>
      </c>
      <c r="AG37" s="156" t="s">
        <v>140</v>
      </c>
      <c r="AH37" s="158"/>
      <c r="AI37" s="157"/>
      <c r="AJ37" s="78" t="s">
        <v>105</v>
      </c>
      <c r="AK37" s="78" t="s">
        <v>140</v>
      </c>
      <c r="AL37" s="78" t="s">
        <v>105</v>
      </c>
      <c r="AM37" s="74" t="s">
        <v>105</v>
      </c>
      <c r="AN37" s="154" t="s">
        <v>105</v>
      </c>
      <c r="AO37" s="155"/>
      <c r="AQ37" s="74" t="s">
        <v>105</v>
      </c>
      <c r="AR37" s="74" t="s">
        <v>140</v>
      </c>
      <c r="AS37" s="74" t="s">
        <v>141</v>
      </c>
    </row>
    <row r="38" spans="1:45" ht="24.75" x14ac:dyDescent="0.25">
      <c r="A38" s="74" t="s">
        <v>103</v>
      </c>
      <c r="B38" s="74" t="s">
        <v>108</v>
      </c>
      <c r="C38" s="74" t="s">
        <v>109</v>
      </c>
      <c r="D38" s="74" t="s">
        <v>108</v>
      </c>
      <c r="E38" s="74" t="s">
        <v>113</v>
      </c>
      <c r="F38" s="74" t="s">
        <v>133</v>
      </c>
      <c r="G38" s="74" t="s">
        <v>113</v>
      </c>
      <c r="H38" s="74"/>
      <c r="I38" s="74"/>
      <c r="K38" s="154"/>
      <c r="L38" s="155"/>
      <c r="M38" s="74"/>
      <c r="N38" s="74"/>
      <c r="O38" s="74"/>
      <c r="P38" s="154"/>
      <c r="Q38" s="155"/>
      <c r="R38" s="74"/>
      <c r="S38" s="74"/>
      <c r="T38" s="74"/>
      <c r="U38" s="74"/>
      <c r="V38" s="74"/>
      <c r="W38" s="74"/>
      <c r="X38" s="75" t="s">
        <v>57</v>
      </c>
      <c r="Y38" s="156" t="s">
        <v>146</v>
      </c>
      <c r="Z38" s="157"/>
      <c r="AA38" s="78" t="s">
        <v>147</v>
      </c>
      <c r="AB38" s="156" t="s">
        <v>105</v>
      </c>
      <c r="AC38" s="158"/>
      <c r="AD38" s="157"/>
      <c r="AE38" s="78" t="s">
        <v>105</v>
      </c>
      <c r="AF38" s="78" t="s">
        <v>147</v>
      </c>
      <c r="AG38" s="156" t="s">
        <v>148</v>
      </c>
      <c r="AH38" s="158"/>
      <c r="AI38" s="157"/>
      <c r="AJ38" s="78" t="s">
        <v>105</v>
      </c>
      <c r="AK38" s="78" t="s">
        <v>148</v>
      </c>
      <c r="AL38" s="78" t="s">
        <v>105</v>
      </c>
      <c r="AM38" s="74" t="s">
        <v>105</v>
      </c>
      <c r="AN38" s="154" t="s">
        <v>105</v>
      </c>
      <c r="AO38" s="155"/>
      <c r="AQ38" s="74" t="s">
        <v>105</v>
      </c>
      <c r="AR38" s="74" t="s">
        <v>148</v>
      </c>
      <c r="AS38" s="74" t="s">
        <v>149</v>
      </c>
    </row>
    <row r="39" spans="1:45" ht="24.75" x14ac:dyDescent="0.25">
      <c r="A39" s="74" t="s">
        <v>103</v>
      </c>
      <c r="B39" s="74" t="s">
        <v>108</v>
      </c>
      <c r="C39" s="74" t="s">
        <v>109</v>
      </c>
      <c r="D39" s="74" t="s">
        <v>108</v>
      </c>
      <c r="E39" s="74" t="s">
        <v>113</v>
      </c>
      <c r="F39" s="74" t="s">
        <v>133</v>
      </c>
      <c r="G39" s="74" t="s">
        <v>113</v>
      </c>
      <c r="H39" s="74" t="s">
        <v>113</v>
      </c>
      <c r="I39" s="74"/>
      <c r="K39" s="154"/>
      <c r="L39" s="155"/>
      <c r="M39" s="74"/>
      <c r="N39" s="74"/>
      <c r="O39" s="74"/>
      <c r="P39" s="154"/>
      <c r="Q39" s="155"/>
      <c r="R39" s="74"/>
      <c r="S39" s="74"/>
      <c r="T39" s="74"/>
      <c r="U39" s="74"/>
      <c r="V39" s="74"/>
      <c r="W39" s="74"/>
      <c r="X39" s="75" t="s">
        <v>57</v>
      </c>
      <c r="Y39" s="156" t="s">
        <v>150</v>
      </c>
      <c r="Z39" s="157"/>
      <c r="AA39" s="78" t="s">
        <v>151</v>
      </c>
      <c r="AB39" s="156" t="s">
        <v>105</v>
      </c>
      <c r="AC39" s="158"/>
      <c r="AD39" s="157"/>
      <c r="AE39" s="78" t="s">
        <v>105</v>
      </c>
      <c r="AF39" s="78" t="s">
        <v>151</v>
      </c>
      <c r="AG39" s="156" t="s">
        <v>152</v>
      </c>
      <c r="AH39" s="158"/>
      <c r="AI39" s="157"/>
      <c r="AJ39" s="78" t="s">
        <v>105</v>
      </c>
      <c r="AK39" s="78" t="s">
        <v>152</v>
      </c>
      <c r="AL39" s="78" t="s">
        <v>105</v>
      </c>
      <c r="AM39" s="74" t="s">
        <v>105</v>
      </c>
      <c r="AN39" s="154" t="s">
        <v>105</v>
      </c>
      <c r="AO39" s="155"/>
      <c r="AQ39" s="74" t="s">
        <v>105</v>
      </c>
      <c r="AR39" s="74" t="s">
        <v>152</v>
      </c>
      <c r="AS39" s="74" t="s">
        <v>153</v>
      </c>
    </row>
    <row r="40" spans="1:45" ht="24.75" x14ac:dyDescent="0.25">
      <c r="A40" s="74" t="s">
        <v>103</v>
      </c>
      <c r="B40" s="74" t="s">
        <v>108</v>
      </c>
      <c r="C40" s="74" t="s">
        <v>109</v>
      </c>
      <c r="D40" s="74" t="s">
        <v>108</v>
      </c>
      <c r="E40" s="74" t="s">
        <v>113</v>
      </c>
      <c r="F40" s="74" t="s">
        <v>133</v>
      </c>
      <c r="G40" s="74" t="s">
        <v>113</v>
      </c>
      <c r="H40" s="74" t="s">
        <v>113</v>
      </c>
      <c r="I40" s="74" t="s">
        <v>103</v>
      </c>
      <c r="K40" s="154"/>
      <c r="L40" s="155"/>
      <c r="M40" s="74"/>
      <c r="N40" s="74"/>
      <c r="O40" s="74"/>
      <c r="P40" s="154"/>
      <c r="Q40" s="155"/>
      <c r="R40" s="74"/>
      <c r="S40" s="74"/>
      <c r="T40" s="74"/>
      <c r="U40" s="74"/>
      <c r="V40" s="74"/>
      <c r="W40" s="74"/>
      <c r="X40" s="75" t="s">
        <v>57</v>
      </c>
      <c r="Y40" s="156" t="s">
        <v>154</v>
      </c>
      <c r="Z40" s="157"/>
      <c r="AA40" s="78" t="s">
        <v>151</v>
      </c>
      <c r="AB40" s="156" t="s">
        <v>105</v>
      </c>
      <c r="AC40" s="158"/>
      <c r="AD40" s="157"/>
      <c r="AE40" s="78" t="s">
        <v>105</v>
      </c>
      <c r="AF40" s="78" t="s">
        <v>151</v>
      </c>
      <c r="AG40" s="156" t="s">
        <v>152</v>
      </c>
      <c r="AH40" s="158"/>
      <c r="AI40" s="157"/>
      <c r="AJ40" s="78" t="s">
        <v>105</v>
      </c>
      <c r="AK40" s="78" t="s">
        <v>152</v>
      </c>
      <c r="AL40" s="78" t="s">
        <v>105</v>
      </c>
      <c r="AM40" s="74" t="s">
        <v>105</v>
      </c>
      <c r="AN40" s="154" t="s">
        <v>105</v>
      </c>
      <c r="AO40" s="155"/>
      <c r="AQ40" s="74" t="s">
        <v>105</v>
      </c>
      <c r="AR40" s="74" t="s">
        <v>152</v>
      </c>
      <c r="AS40" s="74" t="s">
        <v>153</v>
      </c>
    </row>
    <row r="41" spans="1:45" x14ac:dyDescent="0.25">
      <c r="A41" s="74" t="s">
        <v>103</v>
      </c>
      <c r="B41" s="74" t="s">
        <v>108</v>
      </c>
      <c r="C41" s="74" t="s">
        <v>109</v>
      </c>
      <c r="D41" s="74" t="s">
        <v>108</v>
      </c>
      <c r="E41" s="74" t="s">
        <v>113</v>
      </c>
      <c r="F41" s="74" t="s">
        <v>133</v>
      </c>
      <c r="G41" s="74" t="s">
        <v>113</v>
      </c>
      <c r="H41" s="74" t="s">
        <v>113</v>
      </c>
      <c r="I41" s="74" t="s">
        <v>103</v>
      </c>
      <c r="K41" s="154" t="s">
        <v>155</v>
      </c>
      <c r="L41" s="155"/>
      <c r="M41" s="74"/>
      <c r="N41" s="74"/>
      <c r="O41" s="74"/>
      <c r="P41" s="154"/>
      <c r="Q41" s="155"/>
      <c r="R41" s="74"/>
      <c r="S41" s="74"/>
      <c r="T41" s="74"/>
      <c r="U41" s="74"/>
      <c r="V41" s="74"/>
      <c r="W41" s="74"/>
      <c r="X41" s="75" t="s">
        <v>57</v>
      </c>
      <c r="Y41" s="156" t="s">
        <v>156</v>
      </c>
      <c r="Z41" s="157"/>
      <c r="AA41" s="78" t="s">
        <v>157</v>
      </c>
      <c r="AB41" s="156" t="s">
        <v>105</v>
      </c>
      <c r="AC41" s="158"/>
      <c r="AD41" s="157"/>
      <c r="AE41" s="78" t="s">
        <v>105</v>
      </c>
      <c r="AF41" s="78" t="s">
        <v>157</v>
      </c>
      <c r="AG41" s="156" t="s">
        <v>157</v>
      </c>
      <c r="AH41" s="158"/>
      <c r="AI41" s="157"/>
      <c r="AJ41" s="78" t="s">
        <v>105</v>
      </c>
      <c r="AK41" s="78" t="s">
        <v>157</v>
      </c>
      <c r="AL41" s="78" t="s">
        <v>105</v>
      </c>
      <c r="AM41" s="74" t="s">
        <v>105</v>
      </c>
      <c r="AN41" s="154" t="s">
        <v>105</v>
      </c>
      <c r="AO41" s="155"/>
      <c r="AQ41" s="74" t="s">
        <v>105</v>
      </c>
      <c r="AR41" s="74" t="s">
        <v>157</v>
      </c>
      <c r="AS41" s="74" t="s">
        <v>105</v>
      </c>
    </row>
    <row r="42" spans="1:45" x14ac:dyDescent="0.25">
      <c r="A42" s="74" t="s">
        <v>103</v>
      </c>
      <c r="B42" s="74" t="s">
        <v>108</v>
      </c>
      <c r="C42" s="74" t="s">
        <v>109</v>
      </c>
      <c r="D42" s="74" t="s">
        <v>108</v>
      </c>
      <c r="E42" s="74" t="s">
        <v>113</v>
      </c>
      <c r="F42" s="74" t="s">
        <v>133</v>
      </c>
      <c r="G42" s="74" t="s">
        <v>113</v>
      </c>
      <c r="H42" s="74" t="s">
        <v>113</v>
      </c>
      <c r="I42" s="74" t="s">
        <v>103</v>
      </c>
      <c r="K42" s="154" t="s">
        <v>158</v>
      </c>
      <c r="L42" s="155"/>
      <c r="M42" s="74"/>
      <c r="N42" s="74"/>
      <c r="O42" s="74"/>
      <c r="P42" s="154"/>
      <c r="Q42" s="155"/>
      <c r="R42" s="74"/>
      <c r="S42" s="74"/>
      <c r="T42" s="74"/>
      <c r="U42" s="74"/>
      <c r="V42" s="74"/>
      <c r="W42" s="74"/>
      <c r="X42" s="75" t="s">
        <v>57</v>
      </c>
      <c r="Y42" s="156" t="s">
        <v>159</v>
      </c>
      <c r="Z42" s="157"/>
      <c r="AA42" s="78" t="s">
        <v>160</v>
      </c>
      <c r="AB42" s="156" t="s">
        <v>105</v>
      </c>
      <c r="AC42" s="158"/>
      <c r="AD42" s="157"/>
      <c r="AE42" s="78" t="s">
        <v>105</v>
      </c>
      <c r="AF42" s="78" t="s">
        <v>160</v>
      </c>
      <c r="AG42" s="156" t="s">
        <v>160</v>
      </c>
      <c r="AH42" s="158"/>
      <c r="AI42" s="157"/>
      <c r="AJ42" s="78" t="s">
        <v>105</v>
      </c>
      <c r="AK42" s="78" t="s">
        <v>160</v>
      </c>
      <c r="AL42" s="78" t="s">
        <v>105</v>
      </c>
      <c r="AM42" s="74" t="s">
        <v>105</v>
      </c>
      <c r="AN42" s="154" t="s">
        <v>105</v>
      </c>
      <c r="AO42" s="155"/>
      <c r="AQ42" s="74" t="s">
        <v>105</v>
      </c>
      <c r="AR42" s="74" t="s">
        <v>160</v>
      </c>
      <c r="AS42" s="74" t="s">
        <v>105</v>
      </c>
    </row>
    <row r="43" spans="1:45" ht="24.75" x14ac:dyDescent="0.25">
      <c r="A43" s="74" t="s">
        <v>103</v>
      </c>
      <c r="B43" s="74" t="s">
        <v>108</v>
      </c>
      <c r="C43" s="74" t="s">
        <v>109</v>
      </c>
      <c r="D43" s="74" t="s">
        <v>108</v>
      </c>
      <c r="E43" s="74" t="s">
        <v>113</v>
      </c>
      <c r="F43" s="74" t="s">
        <v>133</v>
      </c>
      <c r="G43" s="74" t="s">
        <v>113</v>
      </c>
      <c r="H43" s="74" t="s">
        <v>113</v>
      </c>
      <c r="I43" s="74" t="s">
        <v>103</v>
      </c>
      <c r="K43" s="154" t="s">
        <v>161</v>
      </c>
      <c r="L43" s="155"/>
      <c r="M43" s="74"/>
      <c r="N43" s="74"/>
      <c r="O43" s="74"/>
      <c r="P43" s="154"/>
      <c r="Q43" s="155"/>
      <c r="R43" s="74"/>
      <c r="S43" s="74"/>
      <c r="T43" s="74"/>
      <c r="U43" s="74"/>
      <c r="V43" s="74"/>
      <c r="W43" s="74"/>
      <c r="X43" s="75" t="s">
        <v>57</v>
      </c>
      <c r="Y43" s="156" t="s">
        <v>162</v>
      </c>
      <c r="Z43" s="157"/>
      <c r="AA43" s="78" t="s">
        <v>163</v>
      </c>
      <c r="AB43" s="156" t="s">
        <v>105</v>
      </c>
      <c r="AC43" s="158"/>
      <c r="AD43" s="157"/>
      <c r="AE43" s="78" t="s">
        <v>105</v>
      </c>
      <c r="AF43" s="78" t="s">
        <v>163</v>
      </c>
      <c r="AG43" s="156" t="s">
        <v>164</v>
      </c>
      <c r="AH43" s="158"/>
      <c r="AI43" s="157"/>
      <c r="AJ43" s="78" t="s">
        <v>105</v>
      </c>
      <c r="AK43" s="78" t="s">
        <v>164</v>
      </c>
      <c r="AL43" s="78" t="s">
        <v>105</v>
      </c>
      <c r="AM43" s="74" t="s">
        <v>105</v>
      </c>
      <c r="AN43" s="154" t="s">
        <v>105</v>
      </c>
      <c r="AO43" s="155"/>
      <c r="AQ43" s="74" t="s">
        <v>105</v>
      </c>
      <c r="AR43" s="74" t="s">
        <v>164</v>
      </c>
      <c r="AS43" s="74" t="s">
        <v>153</v>
      </c>
    </row>
    <row r="44" spans="1:45" ht="24.75" x14ac:dyDescent="0.25">
      <c r="A44" s="74" t="s">
        <v>103</v>
      </c>
      <c r="B44" s="74" t="s">
        <v>108</v>
      </c>
      <c r="C44" s="74" t="s">
        <v>109</v>
      </c>
      <c r="D44" s="74" t="s">
        <v>108</v>
      </c>
      <c r="E44" s="74" t="s">
        <v>113</v>
      </c>
      <c r="F44" s="74" t="s">
        <v>133</v>
      </c>
      <c r="G44" s="74" t="s">
        <v>113</v>
      </c>
      <c r="H44" s="74" t="s">
        <v>121</v>
      </c>
      <c r="I44" s="74"/>
      <c r="K44" s="154"/>
      <c r="L44" s="155"/>
      <c r="M44" s="74"/>
      <c r="N44" s="74"/>
      <c r="O44" s="74"/>
      <c r="P44" s="154"/>
      <c r="Q44" s="155"/>
      <c r="R44" s="74"/>
      <c r="S44" s="74"/>
      <c r="T44" s="74"/>
      <c r="U44" s="74"/>
      <c r="V44" s="74"/>
      <c r="W44" s="74"/>
      <c r="X44" s="75" t="s">
        <v>57</v>
      </c>
      <c r="Y44" s="156" t="s">
        <v>165</v>
      </c>
      <c r="Z44" s="157"/>
      <c r="AA44" s="78" t="s">
        <v>166</v>
      </c>
      <c r="AB44" s="156" t="s">
        <v>105</v>
      </c>
      <c r="AC44" s="158"/>
      <c r="AD44" s="157"/>
      <c r="AE44" s="78" t="s">
        <v>105</v>
      </c>
      <c r="AF44" s="78" t="s">
        <v>166</v>
      </c>
      <c r="AG44" s="156" t="s">
        <v>167</v>
      </c>
      <c r="AH44" s="158"/>
      <c r="AI44" s="157"/>
      <c r="AJ44" s="78" t="s">
        <v>105</v>
      </c>
      <c r="AK44" s="78" t="s">
        <v>167</v>
      </c>
      <c r="AL44" s="78" t="s">
        <v>105</v>
      </c>
      <c r="AM44" s="74" t="s">
        <v>105</v>
      </c>
      <c r="AN44" s="154" t="s">
        <v>105</v>
      </c>
      <c r="AO44" s="155"/>
      <c r="AQ44" s="74" t="s">
        <v>105</v>
      </c>
      <c r="AR44" s="74" t="s">
        <v>167</v>
      </c>
      <c r="AS44" s="74" t="s">
        <v>168</v>
      </c>
    </row>
    <row r="45" spans="1:45" ht="24.75" x14ac:dyDescent="0.25">
      <c r="A45" s="74" t="s">
        <v>103</v>
      </c>
      <c r="B45" s="74" t="s">
        <v>108</v>
      </c>
      <c r="C45" s="74" t="s">
        <v>109</v>
      </c>
      <c r="D45" s="74" t="s">
        <v>108</v>
      </c>
      <c r="E45" s="74" t="s">
        <v>113</v>
      </c>
      <c r="F45" s="74" t="s">
        <v>133</v>
      </c>
      <c r="G45" s="74" t="s">
        <v>113</v>
      </c>
      <c r="H45" s="74" t="s">
        <v>121</v>
      </c>
      <c r="I45" s="74" t="s">
        <v>103</v>
      </c>
      <c r="K45" s="154"/>
      <c r="L45" s="155"/>
      <c r="M45" s="74"/>
      <c r="N45" s="74"/>
      <c r="O45" s="74"/>
      <c r="P45" s="154"/>
      <c r="Q45" s="155"/>
      <c r="R45" s="74"/>
      <c r="S45" s="74"/>
      <c r="T45" s="74"/>
      <c r="U45" s="74"/>
      <c r="V45" s="74"/>
      <c r="W45" s="74"/>
      <c r="X45" s="75" t="s">
        <v>57</v>
      </c>
      <c r="Y45" s="156" t="s">
        <v>169</v>
      </c>
      <c r="Z45" s="157"/>
      <c r="AA45" s="78" t="s">
        <v>166</v>
      </c>
      <c r="AB45" s="156" t="s">
        <v>105</v>
      </c>
      <c r="AC45" s="158"/>
      <c r="AD45" s="157"/>
      <c r="AE45" s="78" t="s">
        <v>105</v>
      </c>
      <c r="AF45" s="78" t="s">
        <v>166</v>
      </c>
      <c r="AG45" s="156" t="s">
        <v>167</v>
      </c>
      <c r="AH45" s="158"/>
      <c r="AI45" s="157"/>
      <c r="AJ45" s="78" t="s">
        <v>105</v>
      </c>
      <c r="AK45" s="78" t="s">
        <v>167</v>
      </c>
      <c r="AL45" s="78" t="s">
        <v>105</v>
      </c>
      <c r="AM45" s="74" t="s">
        <v>105</v>
      </c>
      <c r="AN45" s="154" t="s">
        <v>105</v>
      </c>
      <c r="AO45" s="155"/>
      <c r="AQ45" s="74" t="s">
        <v>105</v>
      </c>
      <c r="AR45" s="74" t="s">
        <v>167</v>
      </c>
      <c r="AS45" s="74" t="s">
        <v>168</v>
      </c>
    </row>
    <row r="46" spans="1:45" ht="24.75" x14ac:dyDescent="0.25">
      <c r="A46" s="74" t="s">
        <v>103</v>
      </c>
      <c r="B46" s="74" t="s">
        <v>108</v>
      </c>
      <c r="C46" s="74" t="s">
        <v>109</v>
      </c>
      <c r="D46" s="74" t="s">
        <v>108</v>
      </c>
      <c r="E46" s="74" t="s">
        <v>113</v>
      </c>
      <c r="F46" s="74" t="s">
        <v>133</v>
      </c>
      <c r="G46" s="74" t="s">
        <v>113</v>
      </c>
      <c r="H46" s="74" t="s">
        <v>121</v>
      </c>
      <c r="I46" s="74" t="s">
        <v>103</v>
      </c>
      <c r="K46" s="154" t="s">
        <v>103</v>
      </c>
      <c r="L46" s="155"/>
      <c r="M46" s="74"/>
      <c r="N46" s="74"/>
      <c r="O46" s="74"/>
      <c r="P46" s="154"/>
      <c r="Q46" s="155"/>
      <c r="R46" s="74"/>
      <c r="S46" s="74"/>
      <c r="T46" s="74"/>
      <c r="U46" s="74"/>
      <c r="V46" s="74"/>
      <c r="W46" s="74"/>
      <c r="X46" s="75" t="s">
        <v>57</v>
      </c>
      <c r="Y46" s="156" t="s">
        <v>170</v>
      </c>
      <c r="Z46" s="157"/>
      <c r="AA46" s="78" t="s">
        <v>166</v>
      </c>
      <c r="AB46" s="156" t="s">
        <v>105</v>
      </c>
      <c r="AC46" s="158"/>
      <c r="AD46" s="157"/>
      <c r="AE46" s="78" t="s">
        <v>105</v>
      </c>
      <c r="AF46" s="78" t="s">
        <v>166</v>
      </c>
      <c r="AG46" s="156" t="s">
        <v>167</v>
      </c>
      <c r="AH46" s="158"/>
      <c r="AI46" s="157"/>
      <c r="AJ46" s="78" t="s">
        <v>105</v>
      </c>
      <c r="AK46" s="78" t="s">
        <v>167</v>
      </c>
      <c r="AL46" s="78" t="s">
        <v>105</v>
      </c>
      <c r="AM46" s="74" t="s">
        <v>105</v>
      </c>
      <c r="AN46" s="154" t="s">
        <v>105</v>
      </c>
      <c r="AO46" s="155"/>
      <c r="AQ46" s="74" t="s">
        <v>105</v>
      </c>
      <c r="AR46" s="74" t="s">
        <v>167</v>
      </c>
      <c r="AS46" s="74" t="s">
        <v>168</v>
      </c>
    </row>
    <row r="47" spans="1:45" x14ac:dyDescent="0.25">
      <c r="A47" s="74" t="s">
        <v>103</v>
      </c>
      <c r="B47" s="74" t="s">
        <v>108</v>
      </c>
      <c r="C47" s="74" t="s">
        <v>109</v>
      </c>
      <c r="D47" s="74" t="s">
        <v>108</v>
      </c>
      <c r="E47" s="74" t="s">
        <v>113</v>
      </c>
      <c r="F47" s="74" t="s">
        <v>133</v>
      </c>
      <c r="G47" s="74" t="s">
        <v>113</v>
      </c>
      <c r="H47" s="74" t="s">
        <v>128</v>
      </c>
      <c r="I47" s="74"/>
      <c r="K47" s="154"/>
      <c r="L47" s="155"/>
      <c r="M47" s="74"/>
      <c r="N47" s="74"/>
      <c r="O47" s="74"/>
      <c r="P47" s="154"/>
      <c r="Q47" s="155"/>
      <c r="R47" s="74"/>
      <c r="S47" s="74"/>
      <c r="T47" s="74"/>
      <c r="U47" s="74"/>
      <c r="V47" s="74"/>
      <c r="W47" s="74"/>
      <c r="X47" s="75" t="s">
        <v>57</v>
      </c>
      <c r="Y47" s="156" t="s">
        <v>171</v>
      </c>
      <c r="Z47" s="157"/>
      <c r="AA47" s="78" t="s">
        <v>172</v>
      </c>
      <c r="AB47" s="156" t="s">
        <v>105</v>
      </c>
      <c r="AC47" s="158"/>
      <c r="AD47" s="157"/>
      <c r="AE47" s="78" t="s">
        <v>105</v>
      </c>
      <c r="AF47" s="78" t="s">
        <v>172</v>
      </c>
      <c r="AG47" s="156" t="s">
        <v>172</v>
      </c>
      <c r="AH47" s="158"/>
      <c r="AI47" s="157"/>
      <c r="AJ47" s="78" t="s">
        <v>105</v>
      </c>
      <c r="AK47" s="78" t="s">
        <v>172</v>
      </c>
      <c r="AL47" s="78" t="s">
        <v>105</v>
      </c>
      <c r="AM47" s="74" t="s">
        <v>105</v>
      </c>
      <c r="AN47" s="154" t="s">
        <v>105</v>
      </c>
      <c r="AO47" s="155"/>
      <c r="AQ47" s="74" t="s">
        <v>105</v>
      </c>
      <c r="AR47" s="74" t="s">
        <v>172</v>
      </c>
      <c r="AS47" s="74" t="s">
        <v>105</v>
      </c>
    </row>
    <row r="48" spans="1:45" x14ac:dyDescent="0.25">
      <c r="A48" s="74" t="s">
        <v>103</v>
      </c>
      <c r="B48" s="74" t="s">
        <v>108</v>
      </c>
      <c r="C48" s="74" t="s">
        <v>109</v>
      </c>
      <c r="D48" s="74" t="s">
        <v>108</v>
      </c>
      <c r="E48" s="74" t="s">
        <v>113</v>
      </c>
      <c r="F48" s="74" t="s">
        <v>133</v>
      </c>
      <c r="G48" s="74" t="s">
        <v>113</v>
      </c>
      <c r="H48" s="74" t="s">
        <v>128</v>
      </c>
      <c r="I48" s="74" t="s">
        <v>155</v>
      </c>
      <c r="K48" s="154"/>
      <c r="L48" s="155"/>
      <c r="M48" s="74"/>
      <c r="N48" s="74"/>
      <c r="O48" s="74"/>
      <c r="P48" s="154"/>
      <c r="Q48" s="155"/>
      <c r="R48" s="74"/>
      <c r="S48" s="74"/>
      <c r="T48" s="74"/>
      <c r="U48" s="74"/>
      <c r="V48" s="74"/>
      <c r="W48" s="74"/>
      <c r="X48" s="75" t="s">
        <v>57</v>
      </c>
      <c r="Y48" s="156" t="s">
        <v>173</v>
      </c>
      <c r="Z48" s="157"/>
      <c r="AA48" s="78" t="s">
        <v>172</v>
      </c>
      <c r="AB48" s="156" t="s">
        <v>105</v>
      </c>
      <c r="AC48" s="158"/>
      <c r="AD48" s="157"/>
      <c r="AE48" s="78" t="s">
        <v>105</v>
      </c>
      <c r="AF48" s="78" t="s">
        <v>172</v>
      </c>
      <c r="AG48" s="156" t="s">
        <v>172</v>
      </c>
      <c r="AH48" s="158"/>
      <c r="AI48" s="157"/>
      <c r="AJ48" s="78" t="s">
        <v>105</v>
      </c>
      <c r="AK48" s="78" t="s">
        <v>172</v>
      </c>
      <c r="AL48" s="78" t="s">
        <v>105</v>
      </c>
      <c r="AM48" s="74" t="s">
        <v>105</v>
      </c>
      <c r="AN48" s="154" t="s">
        <v>105</v>
      </c>
      <c r="AO48" s="155"/>
      <c r="AQ48" s="74" t="s">
        <v>105</v>
      </c>
      <c r="AR48" s="74" t="s">
        <v>172</v>
      </c>
      <c r="AS48" s="74" t="s">
        <v>105</v>
      </c>
    </row>
    <row r="49" spans="1:45" x14ac:dyDescent="0.25">
      <c r="A49" s="74" t="s">
        <v>103</v>
      </c>
      <c r="B49" s="74" t="s">
        <v>108</v>
      </c>
      <c r="C49" s="74" t="s">
        <v>109</v>
      </c>
      <c r="D49" s="74" t="s">
        <v>108</v>
      </c>
      <c r="E49" s="74" t="s">
        <v>113</v>
      </c>
      <c r="F49" s="74" t="s">
        <v>133</v>
      </c>
      <c r="G49" s="74" t="s">
        <v>113</v>
      </c>
      <c r="H49" s="74" t="s">
        <v>128</v>
      </c>
      <c r="I49" s="74" t="s">
        <v>155</v>
      </c>
      <c r="K49" s="154" t="s">
        <v>174</v>
      </c>
      <c r="L49" s="155"/>
      <c r="M49" s="74"/>
      <c r="N49" s="74"/>
      <c r="O49" s="74"/>
      <c r="P49" s="154"/>
      <c r="Q49" s="155"/>
      <c r="R49" s="74"/>
      <c r="S49" s="74"/>
      <c r="T49" s="74"/>
      <c r="U49" s="74"/>
      <c r="V49" s="74"/>
      <c r="W49" s="74"/>
      <c r="X49" s="75" t="s">
        <v>57</v>
      </c>
      <c r="Y49" s="156" t="s">
        <v>175</v>
      </c>
      <c r="Z49" s="157"/>
      <c r="AA49" s="78" t="s">
        <v>172</v>
      </c>
      <c r="AB49" s="156" t="s">
        <v>105</v>
      </c>
      <c r="AC49" s="158"/>
      <c r="AD49" s="157"/>
      <c r="AE49" s="78" t="s">
        <v>105</v>
      </c>
      <c r="AF49" s="78" t="s">
        <v>172</v>
      </c>
      <c r="AG49" s="156" t="s">
        <v>172</v>
      </c>
      <c r="AH49" s="158"/>
      <c r="AI49" s="157"/>
      <c r="AJ49" s="78" t="s">
        <v>105</v>
      </c>
      <c r="AK49" s="78" t="s">
        <v>172</v>
      </c>
      <c r="AL49" s="78" t="s">
        <v>105</v>
      </c>
      <c r="AM49" s="74" t="s">
        <v>105</v>
      </c>
      <c r="AN49" s="154" t="s">
        <v>105</v>
      </c>
      <c r="AO49" s="155"/>
      <c r="AQ49" s="74" t="s">
        <v>105</v>
      </c>
      <c r="AR49" s="74" t="s">
        <v>172</v>
      </c>
      <c r="AS49" s="74" t="s">
        <v>105</v>
      </c>
    </row>
    <row r="50" spans="1:45" ht="24.75" x14ac:dyDescent="0.25">
      <c r="A50" s="74" t="s">
        <v>103</v>
      </c>
      <c r="B50" s="74" t="s">
        <v>108</v>
      </c>
      <c r="C50" s="74" t="s">
        <v>109</v>
      </c>
      <c r="D50" s="74" t="s">
        <v>108</v>
      </c>
      <c r="E50" s="74" t="s">
        <v>113</v>
      </c>
      <c r="F50" s="74" t="s">
        <v>133</v>
      </c>
      <c r="G50" s="74" t="s">
        <v>113</v>
      </c>
      <c r="H50" s="74" t="s">
        <v>176</v>
      </c>
      <c r="I50" s="74"/>
      <c r="K50" s="154"/>
      <c r="L50" s="155"/>
      <c r="M50" s="74"/>
      <c r="N50" s="74"/>
      <c r="O50" s="74"/>
      <c r="P50" s="154"/>
      <c r="Q50" s="155"/>
      <c r="R50" s="74"/>
      <c r="S50" s="74"/>
      <c r="T50" s="74"/>
      <c r="U50" s="74"/>
      <c r="V50" s="74"/>
      <c r="W50" s="74"/>
      <c r="X50" s="75" t="s">
        <v>57</v>
      </c>
      <c r="Y50" s="156" t="s">
        <v>177</v>
      </c>
      <c r="Z50" s="157"/>
      <c r="AA50" s="78" t="s">
        <v>178</v>
      </c>
      <c r="AB50" s="156" t="s">
        <v>105</v>
      </c>
      <c r="AC50" s="158"/>
      <c r="AD50" s="157"/>
      <c r="AE50" s="78" t="s">
        <v>105</v>
      </c>
      <c r="AF50" s="78" t="s">
        <v>178</v>
      </c>
      <c r="AG50" s="156" t="s">
        <v>179</v>
      </c>
      <c r="AH50" s="158"/>
      <c r="AI50" s="157"/>
      <c r="AJ50" s="78" t="s">
        <v>105</v>
      </c>
      <c r="AK50" s="78" t="s">
        <v>179</v>
      </c>
      <c r="AL50" s="78" t="s">
        <v>105</v>
      </c>
      <c r="AM50" s="74" t="s">
        <v>105</v>
      </c>
      <c r="AN50" s="154" t="s">
        <v>105</v>
      </c>
      <c r="AO50" s="155"/>
      <c r="AQ50" s="74" t="s">
        <v>105</v>
      </c>
      <c r="AR50" s="74" t="s">
        <v>179</v>
      </c>
      <c r="AS50" s="74" t="s">
        <v>180</v>
      </c>
    </row>
    <row r="51" spans="1:45" ht="24.75" x14ac:dyDescent="0.25">
      <c r="A51" s="74" t="s">
        <v>103</v>
      </c>
      <c r="B51" s="74" t="s">
        <v>108</v>
      </c>
      <c r="C51" s="74" t="s">
        <v>109</v>
      </c>
      <c r="D51" s="74" t="s">
        <v>108</v>
      </c>
      <c r="E51" s="74" t="s">
        <v>113</v>
      </c>
      <c r="F51" s="74" t="s">
        <v>133</v>
      </c>
      <c r="G51" s="74" t="s">
        <v>113</v>
      </c>
      <c r="H51" s="74" t="s">
        <v>176</v>
      </c>
      <c r="I51" s="74" t="s">
        <v>103</v>
      </c>
      <c r="K51" s="154"/>
      <c r="L51" s="155"/>
      <c r="M51" s="74"/>
      <c r="N51" s="74"/>
      <c r="O51" s="74"/>
      <c r="P51" s="154"/>
      <c r="Q51" s="155"/>
      <c r="R51" s="74"/>
      <c r="S51" s="74"/>
      <c r="T51" s="74"/>
      <c r="U51" s="74"/>
      <c r="V51" s="74"/>
      <c r="W51" s="74"/>
      <c r="X51" s="75" t="s">
        <v>57</v>
      </c>
      <c r="Y51" s="156" t="s">
        <v>181</v>
      </c>
      <c r="Z51" s="157"/>
      <c r="AA51" s="78" t="s">
        <v>178</v>
      </c>
      <c r="AB51" s="156" t="s">
        <v>105</v>
      </c>
      <c r="AC51" s="158"/>
      <c r="AD51" s="157"/>
      <c r="AE51" s="78" t="s">
        <v>105</v>
      </c>
      <c r="AF51" s="78" t="s">
        <v>178</v>
      </c>
      <c r="AG51" s="156" t="s">
        <v>179</v>
      </c>
      <c r="AH51" s="158"/>
      <c r="AI51" s="157"/>
      <c r="AJ51" s="78" t="s">
        <v>105</v>
      </c>
      <c r="AK51" s="78" t="s">
        <v>179</v>
      </c>
      <c r="AL51" s="78" t="s">
        <v>105</v>
      </c>
      <c r="AM51" s="74" t="s">
        <v>105</v>
      </c>
      <c r="AN51" s="154" t="s">
        <v>105</v>
      </c>
      <c r="AO51" s="155"/>
      <c r="AQ51" s="74" t="s">
        <v>105</v>
      </c>
      <c r="AR51" s="74" t="s">
        <v>179</v>
      </c>
      <c r="AS51" s="74" t="s">
        <v>180</v>
      </c>
    </row>
    <row r="52" spans="1:45" ht="24.75" x14ac:dyDescent="0.25">
      <c r="A52" s="74" t="s">
        <v>103</v>
      </c>
      <c r="B52" s="74" t="s">
        <v>108</v>
      </c>
      <c r="C52" s="74" t="s">
        <v>109</v>
      </c>
      <c r="D52" s="74" t="s">
        <v>108</v>
      </c>
      <c r="E52" s="74" t="s">
        <v>113</v>
      </c>
      <c r="F52" s="74" t="s">
        <v>133</v>
      </c>
      <c r="G52" s="74" t="s">
        <v>113</v>
      </c>
      <c r="H52" s="74" t="s">
        <v>176</v>
      </c>
      <c r="I52" s="74" t="s">
        <v>103</v>
      </c>
      <c r="K52" s="154" t="s">
        <v>103</v>
      </c>
      <c r="L52" s="155"/>
      <c r="M52" s="74"/>
      <c r="N52" s="74"/>
      <c r="O52" s="74"/>
      <c r="P52" s="154"/>
      <c r="Q52" s="155"/>
      <c r="R52" s="74"/>
      <c r="S52" s="74"/>
      <c r="T52" s="74"/>
      <c r="U52" s="74"/>
      <c r="V52" s="74"/>
      <c r="W52" s="74"/>
      <c r="X52" s="75" t="s">
        <v>57</v>
      </c>
      <c r="Y52" s="156" t="s">
        <v>182</v>
      </c>
      <c r="Z52" s="157"/>
      <c r="AA52" s="78" t="s">
        <v>178</v>
      </c>
      <c r="AB52" s="156" t="s">
        <v>105</v>
      </c>
      <c r="AC52" s="158"/>
      <c r="AD52" s="157"/>
      <c r="AE52" s="78" t="s">
        <v>105</v>
      </c>
      <c r="AF52" s="78" t="s">
        <v>178</v>
      </c>
      <c r="AG52" s="156" t="s">
        <v>179</v>
      </c>
      <c r="AH52" s="158"/>
      <c r="AI52" s="157"/>
      <c r="AJ52" s="78" t="s">
        <v>105</v>
      </c>
      <c r="AK52" s="78" t="s">
        <v>179</v>
      </c>
      <c r="AL52" s="78" t="s">
        <v>105</v>
      </c>
      <c r="AM52" s="74" t="s">
        <v>105</v>
      </c>
      <c r="AN52" s="154" t="s">
        <v>105</v>
      </c>
      <c r="AO52" s="155"/>
      <c r="AQ52" s="74" t="s">
        <v>105</v>
      </c>
      <c r="AR52" s="74" t="s">
        <v>179</v>
      </c>
      <c r="AS52" s="74" t="s">
        <v>180</v>
      </c>
    </row>
    <row r="53" spans="1:45" ht="16.5" x14ac:dyDescent="0.25">
      <c r="A53" s="74" t="s">
        <v>103</v>
      </c>
      <c r="B53" s="74" t="s">
        <v>108</v>
      </c>
      <c r="C53" s="74" t="s">
        <v>109</v>
      </c>
      <c r="D53" s="74" t="s">
        <v>108</v>
      </c>
      <c r="E53" s="74" t="s">
        <v>113</v>
      </c>
      <c r="F53" s="74" t="s">
        <v>133</v>
      </c>
      <c r="G53" s="74" t="s">
        <v>113</v>
      </c>
      <c r="H53" s="74" t="s">
        <v>142</v>
      </c>
      <c r="I53" s="74"/>
      <c r="K53" s="154"/>
      <c r="L53" s="155"/>
      <c r="M53" s="74"/>
      <c r="N53" s="74"/>
      <c r="O53" s="74"/>
      <c r="P53" s="154"/>
      <c r="Q53" s="155"/>
      <c r="R53" s="74"/>
      <c r="S53" s="74"/>
      <c r="T53" s="74"/>
      <c r="U53" s="74"/>
      <c r="V53" s="74"/>
      <c r="W53" s="74"/>
      <c r="X53" s="75" t="s">
        <v>57</v>
      </c>
      <c r="Y53" s="156" t="s">
        <v>143</v>
      </c>
      <c r="Z53" s="157"/>
      <c r="AA53" s="78" t="s">
        <v>183</v>
      </c>
      <c r="AB53" s="156" t="s">
        <v>105</v>
      </c>
      <c r="AC53" s="158"/>
      <c r="AD53" s="157"/>
      <c r="AE53" s="78" t="s">
        <v>105</v>
      </c>
      <c r="AF53" s="78" t="s">
        <v>183</v>
      </c>
      <c r="AG53" s="156" t="s">
        <v>184</v>
      </c>
      <c r="AH53" s="158"/>
      <c r="AI53" s="157"/>
      <c r="AJ53" s="78" t="s">
        <v>105</v>
      </c>
      <c r="AK53" s="78" t="s">
        <v>184</v>
      </c>
      <c r="AL53" s="78" t="s">
        <v>105</v>
      </c>
      <c r="AM53" s="74" t="s">
        <v>105</v>
      </c>
      <c r="AN53" s="154" t="s">
        <v>105</v>
      </c>
      <c r="AO53" s="155"/>
      <c r="AQ53" s="74" t="s">
        <v>105</v>
      </c>
      <c r="AR53" s="74" t="s">
        <v>184</v>
      </c>
      <c r="AS53" s="74" t="s">
        <v>185</v>
      </c>
    </row>
    <row r="54" spans="1:45" ht="16.5" x14ac:dyDescent="0.25">
      <c r="A54" s="74" t="s">
        <v>103</v>
      </c>
      <c r="B54" s="74" t="s">
        <v>108</v>
      </c>
      <c r="C54" s="74" t="s">
        <v>109</v>
      </c>
      <c r="D54" s="74" t="s">
        <v>108</v>
      </c>
      <c r="E54" s="74" t="s">
        <v>113</v>
      </c>
      <c r="F54" s="74" t="s">
        <v>133</v>
      </c>
      <c r="G54" s="74" t="s">
        <v>113</v>
      </c>
      <c r="H54" s="74" t="s">
        <v>142</v>
      </c>
      <c r="I54" s="74" t="s">
        <v>103</v>
      </c>
      <c r="K54" s="154"/>
      <c r="L54" s="155"/>
      <c r="M54" s="74"/>
      <c r="N54" s="74"/>
      <c r="O54" s="74"/>
      <c r="P54" s="154"/>
      <c r="Q54" s="155"/>
      <c r="R54" s="74"/>
      <c r="S54" s="74"/>
      <c r="T54" s="74"/>
      <c r="U54" s="74"/>
      <c r="V54" s="74"/>
      <c r="W54" s="74"/>
      <c r="X54" s="75" t="s">
        <v>57</v>
      </c>
      <c r="Y54" s="156" t="s">
        <v>186</v>
      </c>
      <c r="Z54" s="157"/>
      <c r="AA54" s="78" t="s">
        <v>183</v>
      </c>
      <c r="AB54" s="156" t="s">
        <v>105</v>
      </c>
      <c r="AC54" s="158"/>
      <c r="AD54" s="157"/>
      <c r="AE54" s="78" t="s">
        <v>105</v>
      </c>
      <c r="AF54" s="78" t="s">
        <v>183</v>
      </c>
      <c r="AG54" s="156" t="s">
        <v>184</v>
      </c>
      <c r="AH54" s="158"/>
      <c r="AI54" s="157"/>
      <c r="AJ54" s="78" t="s">
        <v>105</v>
      </c>
      <c r="AK54" s="78" t="s">
        <v>184</v>
      </c>
      <c r="AL54" s="78" t="s">
        <v>105</v>
      </c>
      <c r="AM54" s="74" t="s">
        <v>105</v>
      </c>
      <c r="AN54" s="154" t="s">
        <v>105</v>
      </c>
      <c r="AO54" s="155"/>
      <c r="AQ54" s="74" t="s">
        <v>105</v>
      </c>
      <c r="AR54" s="74" t="s">
        <v>184</v>
      </c>
      <c r="AS54" s="74" t="s">
        <v>185</v>
      </c>
    </row>
    <row r="55" spans="1:45" ht="16.5" x14ac:dyDescent="0.25">
      <c r="A55" s="74" t="s">
        <v>103</v>
      </c>
      <c r="B55" s="74" t="s">
        <v>108</v>
      </c>
      <c r="C55" s="74" t="s">
        <v>109</v>
      </c>
      <c r="D55" s="74" t="s">
        <v>108</v>
      </c>
      <c r="E55" s="74" t="s">
        <v>113</v>
      </c>
      <c r="F55" s="74" t="s">
        <v>133</v>
      </c>
      <c r="G55" s="74" t="s">
        <v>113</v>
      </c>
      <c r="H55" s="74" t="s">
        <v>142</v>
      </c>
      <c r="I55" s="74" t="s">
        <v>103</v>
      </c>
      <c r="K55" s="154" t="s">
        <v>174</v>
      </c>
      <c r="L55" s="155"/>
      <c r="M55" s="74"/>
      <c r="N55" s="74"/>
      <c r="O55" s="74"/>
      <c r="P55" s="154"/>
      <c r="Q55" s="155"/>
      <c r="R55" s="74"/>
      <c r="S55" s="74"/>
      <c r="T55" s="74"/>
      <c r="U55" s="74"/>
      <c r="V55" s="74"/>
      <c r="W55" s="74"/>
      <c r="X55" s="75" t="s">
        <v>57</v>
      </c>
      <c r="Y55" s="156" t="s">
        <v>187</v>
      </c>
      <c r="Z55" s="157"/>
      <c r="AA55" s="78" t="s">
        <v>183</v>
      </c>
      <c r="AB55" s="156" t="s">
        <v>105</v>
      </c>
      <c r="AC55" s="158"/>
      <c r="AD55" s="157"/>
      <c r="AE55" s="78" t="s">
        <v>105</v>
      </c>
      <c r="AF55" s="78" t="s">
        <v>183</v>
      </c>
      <c r="AG55" s="156" t="s">
        <v>184</v>
      </c>
      <c r="AH55" s="158"/>
      <c r="AI55" s="157"/>
      <c r="AJ55" s="78" t="s">
        <v>105</v>
      </c>
      <c r="AK55" s="78" t="s">
        <v>184</v>
      </c>
      <c r="AL55" s="78" t="s">
        <v>105</v>
      </c>
      <c r="AM55" s="74" t="s">
        <v>105</v>
      </c>
      <c r="AN55" s="154" t="s">
        <v>105</v>
      </c>
      <c r="AO55" s="155"/>
      <c r="AQ55" s="74" t="s">
        <v>105</v>
      </c>
      <c r="AR55" s="74" t="s">
        <v>184</v>
      </c>
      <c r="AS55" s="74" t="s">
        <v>185</v>
      </c>
    </row>
    <row r="56" spans="1:45" ht="16.5" x14ac:dyDescent="0.25">
      <c r="A56" s="74" t="s">
        <v>103</v>
      </c>
      <c r="B56" s="74" t="s">
        <v>108</v>
      </c>
      <c r="C56" s="74" t="s">
        <v>109</v>
      </c>
      <c r="D56" s="74" t="s">
        <v>108</v>
      </c>
      <c r="E56" s="74" t="s">
        <v>113</v>
      </c>
      <c r="F56" s="74" t="s">
        <v>133</v>
      </c>
      <c r="G56" s="74" t="s">
        <v>113</v>
      </c>
      <c r="H56" s="74" t="s">
        <v>188</v>
      </c>
      <c r="I56" s="74"/>
      <c r="K56" s="154"/>
      <c r="L56" s="155"/>
      <c r="M56" s="74"/>
      <c r="N56" s="74"/>
      <c r="O56" s="74"/>
      <c r="P56" s="154"/>
      <c r="Q56" s="155"/>
      <c r="R56" s="74"/>
      <c r="S56" s="74"/>
      <c r="T56" s="74"/>
      <c r="U56" s="74"/>
      <c r="V56" s="74"/>
      <c r="W56" s="74"/>
      <c r="X56" s="75" t="s">
        <v>57</v>
      </c>
      <c r="Y56" s="156" t="s">
        <v>189</v>
      </c>
      <c r="Z56" s="157"/>
      <c r="AA56" s="78" t="s">
        <v>190</v>
      </c>
      <c r="AB56" s="156" t="s">
        <v>105</v>
      </c>
      <c r="AC56" s="158"/>
      <c r="AD56" s="157"/>
      <c r="AE56" s="78" t="s">
        <v>105</v>
      </c>
      <c r="AF56" s="78" t="s">
        <v>190</v>
      </c>
      <c r="AG56" s="156" t="s">
        <v>191</v>
      </c>
      <c r="AH56" s="158"/>
      <c r="AI56" s="157"/>
      <c r="AJ56" s="78" t="s">
        <v>105</v>
      </c>
      <c r="AK56" s="78" t="s">
        <v>191</v>
      </c>
      <c r="AL56" s="78" t="s">
        <v>105</v>
      </c>
      <c r="AM56" s="74" t="s">
        <v>105</v>
      </c>
      <c r="AN56" s="154" t="s">
        <v>105</v>
      </c>
      <c r="AO56" s="155"/>
      <c r="AQ56" s="74" t="s">
        <v>105</v>
      </c>
      <c r="AR56" s="74" t="s">
        <v>191</v>
      </c>
      <c r="AS56" s="74" t="s">
        <v>192</v>
      </c>
    </row>
    <row r="57" spans="1:45" x14ac:dyDescent="0.25">
      <c r="A57" s="74" t="s">
        <v>103</v>
      </c>
      <c r="B57" s="74" t="s">
        <v>108</v>
      </c>
      <c r="C57" s="74" t="s">
        <v>109</v>
      </c>
      <c r="D57" s="74" t="s">
        <v>108</v>
      </c>
      <c r="E57" s="74" t="s">
        <v>113</v>
      </c>
      <c r="F57" s="74" t="s">
        <v>133</v>
      </c>
      <c r="G57" s="74" t="s">
        <v>113</v>
      </c>
      <c r="H57" s="74" t="s">
        <v>188</v>
      </c>
      <c r="I57" s="74" t="s">
        <v>133</v>
      </c>
      <c r="K57" s="154"/>
      <c r="L57" s="155"/>
      <c r="M57" s="74"/>
      <c r="N57" s="74"/>
      <c r="O57" s="74"/>
      <c r="P57" s="154"/>
      <c r="Q57" s="155"/>
      <c r="R57" s="74"/>
      <c r="S57" s="74"/>
      <c r="T57" s="74"/>
      <c r="U57" s="74"/>
      <c r="V57" s="74"/>
      <c r="W57" s="74"/>
      <c r="X57" s="75" t="s">
        <v>57</v>
      </c>
      <c r="Y57" s="156" t="s">
        <v>193</v>
      </c>
      <c r="Z57" s="157"/>
      <c r="AA57" s="78" t="s">
        <v>194</v>
      </c>
      <c r="AB57" s="156" t="s">
        <v>105</v>
      </c>
      <c r="AC57" s="158"/>
      <c r="AD57" s="157"/>
      <c r="AE57" s="78" t="s">
        <v>105</v>
      </c>
      <c r="AF57" s="78" t="s">
        <v>194</v>
      </c>
      <c r="AG57" s="156" t="s">
        <v>194</v>
      </c>
      <c r="AH57" s="158"/>
      <c r="AI57" s="157"/>
      <c r="AJ57" s="78" t="s">
        <v>105</v>
      </c>
      <c r="AK57" s="78" t="s">
        <v>194</v>
      </c>
      <c r="AL57" s="78" t="s">
        <v>105</v>
      </c>
      <c r="AM57" s="74" t="s">
        <v>105</v>
      </c>
      <c r="AN57" s="154" t="s">
        <v>105</v>
      </c>
      <c r="AO57" s="155"/>
      <c r="AQ57" s="74" t="s">
        <v>105</v>
      </c>
      <c r="AR57" s="74" t="s">
        <v>194</v>
      </c>
      <c r="AS57" s="74" t="s">
        <v>105</v>
      </c>
    </row>
    <row r="58" spans="1:45" x14ac:dyDescent="0.25">
      <c r="A58" s="74" t="s">
        <v>103</v>
      </c>
      <c r="B58" s="74" t="s">
        <v>108</v>
      </c>
      <c r="C58" s="74" t="s">
        <v>109</v>
      </c>
      <c r="D58" s="74" t="s">
        <v>108</v>
      </c>
      <c r="E58" s="74" t="s">
        <v>113</v>
      </c>
      <c r="F58" s="74" t="s">
        <v>133</v>
      </c>
      <c r="G58" s="74" t="s">
        <v>113</v>
      </c>
      <c r="H58" s="74" t="s">
        <v>188</v>
      </c>
      <c r="I58" s="74" t="s">
        <v>133</v>
      </c>
      <c r="K58" s="154" t="s">
        <v>161</v>
      </c>
      <c r="L58" s="155"/>
      <c r="M58" s="74"/>
      <c r="N58" s="74"/>
      <c r="O58" s="74"/>
      <c r="P58" s="154"/>
      <c r="Q58" s="155"/>
      <c r="R58" s="74"/>
      <c r="S58" s="74"/>
      <c r="T58" s="74"/>
      <c r="U58" s="74"/>
      <c r="V58" s="74"/>
      <c r="W58" s="74"/>
      <c r="X58" s="75" t="s">
        <v>57</v>
      </c>
      <c r="Y58" s="156" t="s">
        <v>195</v>
      </c>
      <c r="Z58" s="157"/>
      <c r="AA58" s="78" t="s">
        <v>194</v>
      </c>
      <c r="AB58" s="156" t="s">
        <v>105</v>
      </c>
      <c r="AC58" s="158"/>
      <c r="AD58" s="157"/>
      <c r="AE58" s="78" t="s">
        <v>105</v>
      </c>
      <c r="AF58" s="78" t="s">
        <v>194</v>
      </c>
      <c r="AG58" s="156" t="s">
        <v>194</v>
      </c>
      <c r="AH58" s="158"/>
      <c r="AI58" s="157"/>
      <c r="AJ58" s="78" t="s">
        <v>105</v>
      </c>
      <c r="AK58" s="78" t="s">
        <v>194</v>
      </c>
      <c r="AL58" s="78" t="s">
        <v>105</v>
      </c>
      <c r="AM58" s="74" t="s">
        <v>105</v>
      </c>
      <c r="AN58" s="154" t="s">
        <v>105</v>
      </c>
      <c r="AO58" s="155"/>
      <c r="AQ58" s="74" t="s">
        <v>105</v>
      </c>
      <c r="AR58" s="74" t="s">
        <v>194</v>
      </c>
      <c r="AS58" s="74" t="s">
        <v>105</v>
      </c>
    </row>
    <row r="59" spans="1:45" x14ac:dyDescent="0.25">
      <c r="A59" s="74" t="s">
        <v>103</v>
      </c>
      <c r="B59" s="74" t="s">
        <v>108</v>
      </c>
      <c r="C59" s="74" t="s">
        <v>109</v>
      </c>
      <c r="D59" s="74" t="s">
        <v>108</v>
      </c>
      <c r="E59" s="74" t="s">
        <v>113</v>
      </c>
      <c r="F59" s="74" t="s">
        <v>133</v>
      </c>
      <c r="G59" s="74" t="s">
        <v>113</v>
      </c>
      <c r="H59" s="74" t="s">
        <v>188</v>
      </c>
      <c r="I59" s="74" t="s">
        <v>133</v>
      </c>
      <c r="K59" s="154" t="s">
        <v>161</v>
      </c>
      <c r="L59" s="155"/>
      <c r="M59" s="74" t="s">
        <v>133</v>
      </c>
      <c r="N59" s="74"/>
      <c r="O59" s="74"/>
      <c r="P59" s="154"/>
      <c r="Q59" s="155"/>
      <c r="R59" s="74"/>
      <c r="S59" s="74"/>
      <c r="T59" s="74"/>
      <c r="U59" s="74"/>
      <c r="V59" s="74"/>
      <c r="W59" s="74"/>
      <c r="X59" s="75" t="s">
        <v>57</v>
      </c>
      <c r="Y59" s="156" t="s">
        <v>196</v>
      </c>
      <c r="Z59" s="157"/>
      <c r="AA59" s="78" t="s">
        <v>194</v>
      </c>
      <c r="AB59" s="156" t="s">
        <v>105</v>
      </c>
      <c r="AC59" s="158"/>
      <c r="AD59" s="157"/>
      <c r="AE59" s="78" t="s">
        <v>105</v>
      </c>
      <c r="AF59" s="78" t="s">
        <v>194</v>
      </c>
      <c r="AG59" s="156" t="s">
        <v>194</v>
      </c>
      <c r="AH59" s="158"/>
      <c r="AI59" s="157"/>
      <c r="AJ59" s="78" t="s">
        <v>105</v>
      </c>
      <c r="AK59" s="78" t="s">
        <v>194</v>
      </c>
      <c r="AL59" s="78" t="s">
        <v>105</v>
      </c>
      <c r="AM59" s="74" t="s">
        <v>105</v>
      </c>
      <c r="AN59" s="154" t="s">
        <v>105</v>
      </c>
      <c r="AO59" s="155"/>
      <c r="AQ59" s="74" t="s">
        <v>105</v>
      </c>
      <c r="AR59" s="74" t="s">
        <v>194</v>
      </c>
      <c r="AS59" s="74" t="s">
        <v>105</v>
      </c>
    </row>
    <row r="60" spans="1:45" x14ac:dyDescent="0.25">
      <c r="A60" s="74" t="s">
        <v>103</v>
      </c>
      <c r="B60" s="74" t="s">
        <v>108</v>
      </c>
      <c r="C60" s="74" t="s">
        <v>109</v>
      </c>
      <c r="D60" s="74" t="s">
        <v>108</v>
      </c>
      <c r="E60" s="74" t="s">
        <v>113</v>
      </c>
      <c r="F60" s="74" t="s">
        <v>133</v>
      </c>
      <c r="G60" s="74" t="s">
        <v>113</v>
      </c>
      <c r="H60" s="74" t="s">
        <v>188</v>
      </c>
      <c r="I60" s="74" t="s">
        <v>133</v>
      </c>
      <c r="K60" s="154" t="s">
        <v>161</v>
      </c>
      <c r="L60" s="155"/>
      <c r="M60" s="74" t="s">
        <v>133</v>
      </c>
      <c r="N60" s="74" t="s">
        <v>108</v>
      </c>
      <c r="O60" s="74"/>
      <c r="P60" s="154"/>
      <c r="Q60" s="155"/>
      <c r="R60" s="74"/>
      <c r="S60" s="74"/>
      <c r="T60" s="74"/>
      <c r="U60" s="74"/>
      <c r="V60" s="74"/>
      <c r="W60" s="74"/>
      <c r="X60" s="75" t="s">
        <v>57</v>
      </c>
      <c r="Y60" s="156" t="s">
        <v>197</v>
      </c>
      <c r="Z60" s="157"/>
      <c r="AA60" s="78" t="s">
        <v>194</v>
      </c>
      <c r="AB60" s="156" t="s">
        <v>105</v>
      </c>
      <c r="AC60" s="158"/>
      <c r="AD60" s="157"/>
      <c r="AE60" s="78" t="s">
        <v>105</v>
      </c>
      <c r="AF60" s="78" t="s">
        <v>194</v>
      </c>
      <c r="AG60" s="156" t="s">
        <v>194</v>
      </c>
      <c r="AH60" s="158"/>
      <c r="AI60" s="157"/>
      <c r="AJ60" s="78" t="s">
        <v>105</v>
      </c>
      <c r="AK60" s="78" t="s">
        <v>194</v>
      </c>
      <c r="AL60" s="78" t="s">
        <v>105</v>
      </c>
      <c r="AM60" s="74" t="s">
        <v>105</v>
      </c>
      <c r="AN60" s="154" t="s">
        <v>105</v>
      </c>
      <c r="AO60" s="155"/>
      <c r="AQ60" s="74" t="s">
        <v>105</v>
      </c>
      <c r="AR60" s="74" t="s">
        <v>194</v>
      </c>
      <c r="AS60" s="74" t="s">
        <v>105</v>
      </c>
    </row>
    <row r="61" spans="1:45" ht="16.5" x14ac:dyDescent="0.25">
      <c r="A61" s="74" t="s">
        <v>103</v>
      </c>
      <c r="B61" s="74" t="s">
        <v>108</v>
      </c>
      <c r="C61" s="74" t="s">
        <v>109</v>
      </c>
      <c r="D61" s="74" t="s">
        <v>108</v>
      </c>
      <c r="E61" s="74" t="s">
        <v>113</v>
      </c>
      <c r="F61" s="74" t="s">
        <v>133</v>
      </c>
      <c r="G61" s="74" t="s">
        <v>113</v>
      </c>
      <c r="H61" s="74" t="s">
        <v>188</v>
      </c>
      <c r="I61" s="74" t="s">
        <v>161</v>
      </c>
      <c r="K61" s="154"/>
      <c r="L61" s="155"/>
      <c r="M61" s="74"/>
      <c r="N61" s="74"/>
      <c r="O61" s="74"/>
      <c r="P61" s="154"/>
      <c r="Q61" s="155"/>
      <c r="R61" s="74"/>
      <c r="S61" s="74"/>
      <c r="T61" s="74"/>
      <c r="U61" s="74"/>
      <c r="V61" s="74"/>
      <c r="W61" s="74"/>
      <c r="X61" s="75" t="s">
        <v>57</v>
      </c>
      <c r="Y61" s="156" t="s">
        <v>198</v>
      </c>
      <c r="Z61" s="157"/>
      <c r="AA61" s="78" t="s">
        <v>199</v>
      </c>
      <c r="AB61" s="156" t="s">
        <v>105</v>
      </c>
      <c r="AC61" s="158"/>
      <c r="AD61" s="157"/>
      <c r="AE61" s="78" t="s">
        <v>105</v>
      </c>
      <c r="AF61" s="78" t="s">
        <v>199</v>
      </c>
      <c r="AG61" s="156" t="s">
        <v>200</v>
      </c>
      <c r="AH61" s="158"/>
      <c r="AI61" s="157"/>
      <c r="AJ61" s="78" t="s">
        <v>105</v>
      </c>
      <c r="AK61" s="78" t="s">
        <v>200</v>
      </c>
      <c r="AL61" s="78" t="s">
        <v>105</v>
      </c>
      <c r="AM61" s="74" t="s">
        <v>105</v>
      </c>
      <c r="AN61" s="154" t="s">
        <v>105</v>
      </c>
      <c r="AO61" s="155"/>
      <c r="AQ61" s="74" t="s">
        <v>105</v>
      </c>
      <c r="AR61" s="74" t="s">
        <v>200</v>
      </c>
      <c r="AS61" s="74" t="s">
        <v>192</v>
      </c>
    </row>
    <row r="62" spans="1:45" ht="16.5" x14ac:dyDescent="0.25">
      <c r="A62" s="74" t="s">
        <v>103</v>
      </c>
      <c r="B62" s="74" t="s">
        <v>108</v>
      </c>
      <c r="C62" s="74" t="s">
        <v>109</v>
      </c>
      <c r="D62" s="74" t="s">
        <v>108</v>
      </c>
      <c r="E62" s="74" t="s">
        <v>113</v>
      </c>
      <c r="F62" s="74" t="s">
        <v>133</v>
      </c>
      <c r="G62" s="74" t="s">
        <v>113</v>
      </c>
      <c r="H62" s="74" t="s">
        <v>188</v>
      </c>
      <c r="I62" s="74" t="s">
        <v>161</v>
      </c>
      <c r="K62" s="154" t="s">
        <v>108</v>
      </c>
      <c r="L62" s="155"/>
      <c r="M62" s="74"/>
      <c r="N62" s="74"/>
      <c r="O62" s="74"/>
      <c r="P62" s="154"/>
      <c r="Q62" s="155"/>
      <c r="R62" s="74"/>
      <c r="S62" s="74"/>
      <c r="T62" s="74"/>
      <c r="U62" s="74"/>
      <c r="V62" s="74"/>
      <c r="W62" s="74"/>
      <c r="X62" s="75" t="s">
        <v>57</v>
      </c>
      <c r="Y62" s="156" t="s">
        <v>201</v>
      </c>
      <c r="Z62" s="157"/>
      <c r="AA62" s="78" t="s">
        <v>199</v>
      </c>
      <c r="AB62" s="156" t="s">
        <v>105</v>
      </c>
      <c r="AC62" s="158"/>
      <c r="AD62" s="157"/>
      <c r="AE62" s="78" t="s">
        <v>105</v>
      </c>
      <c r="AF62" s="78" t="s">
        <v>199</v>
      </c>
      <c r="AG62" s="156" t="s">
        <v>200</v>
      </c>
      <c r="AH62" s="158"/>
      <c r="AI62" s="157"/>
      <c r="AJ62" s="78" t="s">
        <v>105</v>
      </c>
      <c r="AK62" s="78" t="s">
        <v>200</v>
      </c>
      <c r="AL62" s="78" t="s">
        <v>105</v>
      </c>
      <c r="AM62" s="74" t="s">
        <v>105</v>
      </c>
      <c r="AN62" s="154" t="s">
        <v>105</v>
      </c>
      <c r="AO62" s="155"/>
      <c r="AQ62" s="74" t="s">
        <v>105</v>
      </c>
      <c r="AR62" s="74" t="s">
        <v>200</v>
      </c>
      <c r="AS62" s="74" t="s">
        <v>192</v>
      </c>
    </row>
    <row r="63" spans="1:45" ht="16.5" x14ac:dyDescent="0.25">
      <c r="A63" s="74" t="s">
        <v>103</v>
      </c>
      <c r="B63" s="74" t="s">
        <v>108</v>
      </c>
      <c r="C63" s="74" t="s">
        <v>109</v>
      </c>
      <c r="D63" s="74" t="s">
        <v>174</v>
      </c>
      <c r="E63" s="74"/>
      <c r="F63" s="74"/>
      <c r="G63" s="74"/>
      <c r="H63" s="74"/>
      <c r="I63" s="74"/>
      <c r="K63" s="154"/>
      <c r="L63" s="155"/>
      <c r="M63" s="74"/>
      <c r="N63" s="74"/>
      <c r="O63" s="74"/>
      <c r="P63" s="154"/>
      <c r="Q63" s="155"/>
      <c r="R63" s="74"/>
      <c r="S63" s="74"/>
      <c r="T63" s="74"/>
      <c r="U63" s="74"/>
      <c r="V63" s="74"/>
      <c r="W63" s="74"/>
      <c r="X63" s="75" t="s">
        <v>57</v>
      </c>
      <c r="Y63" s="156" t="s">
        <v>21</v>
      </c>
      <c r="Z63" s="157"/>
      <c r="AA63" s="78" t="s">
        <v>202</v>
      </c>
      <c r="AB63" s="156" t="s">
        <v>105</v>
      </c>
      <c r="AC63" s="158"/>
      <c r="AD63" s="157"/>
      <c r="AE63" s="78" t="s">
        <v>105</v>
      </c>
      <c r="AF63" s="78" t="s">
        <v>202</v>
      </c>
      <c r="AG63" s="156" t="s">
        <v>203</v>
      </c>
      <c r="AH63" s="158"/>
      <c r="AI63" s="157"/>
      <c r="AJ63" s="78" t="s">
        <v>105</v>
      </c>
      <c r="AK63" s="78" t="s">
        <v>203</v>
      </c>
      <c r="AL63" s="78" t="s">
        <v>105</v>
      </c>
      <c r="AM63" s="74" t="s">
        <v>105</v>
      </c>
      <c r="AN63" s="154" t="s">
        <v>105</v>
      </c>
      <c r="AO63" s="155"/>
      <c r="AQ63" s="74" t="s">
        <v>105</v>
      </c>
      <c r="AR63" s="74" t="s">
        <v>203</v>
      </c>
      <c r="AS63" s="74" t="s">
        <v>204</v>
      </c>
    </row>
    <row r="64" spans="1:45" ht="16.5" x14ac:dyDescent="0.25">
      <c r="A64" s="74" t="s">
        <v>103</v>
      </c>
      <c r="B64" s="74" t="s">
        <v>108</v>
      </c>
      <c r="C64" s="74" t="s">
        <v>109</v>
      </c>
      <c r="D64" s="74" t="s">
        <v>174</v>
      </c>
      <c r="E64" s="74" t="s">
        <v>128</v>
      </c>
      <c r="F64" s="74"/>
      <c r="G64" s="74"/>
      <c r="H64" s="74"/>
      <c r="I64" s="74"/>
      <c r="K64" s="154"/>
      <c r="L64" s="155"/>
      <c r="M64" s="74"/>
      <c r="N64" s="74"/>
      <c r="O64" s="74"/>
      <c r="P64" s="154"/>
      <c r="Q64" s="155"/>
      <c r="R64" s="74"/>
      <c r="S64" s="74"/>
      <c r="T64" s="74"/>
      <c r="U64" s="74"/>
      <c r="V64" s="74"/>
      <c r="W64" s="74"/>
      <c r="X64" s="75" t="s">
        <v>57</v>
      </c>
      <c r="Y64" s="156" t="s">
        <v>23</v>
      </c>
      <c r="Z64" s="157"/>
      <c r="AA64" s="78" t="s">
        <v>205</v>
      </c>
      <c r="AB64" s="156" t="s">
        <v>105</v>
      </c>
      <c r="AC64" s="158"/>
      <c r="AD64" s="157"/>
      <c r="AE64" s="78" t="s">
        <v>105</v>
      </c>
      <c r="AF64" s="78" t="s">
        <v>205</v>
      </c>
      <c r="AG64" s="156" t="s">
        <v>205</v>
      </c>
      <c r="AH64" s="158"/>
      <c r="AI64" s="157"/>
      <c r="AJ64" s="78" t="s">
        <v>105</v>
      </c>
      <c r="AK64" s="78" t="s">
        <v>205</v>
      </c>
      <c r="AL64" s="78" t="s">
        <v>105</v>
      </c>
      <c r="AM64" s="74" t="s">
        <v>105</v>
      </c>
      <c r="AN64" s="154" t="s">
        <v>105</v>
      </c>
      <c r="AO64" s="155"/>
      <c r="AQ64" s="74" t="s">
        <v>105</v>
      </c>
      <c r="AR64" s="74" t="s">
        <v>205</v>
      </c>
      <c r="AS64" s="74" t="s">
        <v>105</v>
      </c>
    </row>
    <row r="65" spans="1:45" ht="16.5" x14ac:dyDescent="0.25">
      <c r="A65" s="74" t="s">
        <v>103</v>
      </c>
      <c r="B65" s="74" t="s">
        <v>108</v>
      </c>
      <c r="C65" s="74" t="s">
        <v>109</v>
      </c>
      <c r="D65" s="74" t="s">
        <v>174</v>
      </c>
      <c r="E65" s="74" t="s">
        <v>128</v>
      </c>
      <c r="F65" s="74" t="s">
        <v>108</v>
      </c>
      <c r="G65" s="74"/>
      <c r="H65" s="74"/>
      <c r="I65" s="74"/>
      <c r="K65" s="154"/>
      <c r="L65" s="155"/>
      <c r="M65" s="74"/>
      <c r="N65" s="74"/>
      <c r="O65" s="74"/>
      <c r="P65" s="154"/>
      <c r="Q65" s="155"/>
      <c r="R65" s="74"/>
      <c r="S65" s="74"/>
      <c r="T65" s="74"/>
      <c r="U65" s="74"/>
      <c r="V65" s="74"/>
      <c r="W65" s="74"/>
      <c r="X65" s="75" t="s">
        <v>57</v>
      </c>
      <c r="Y65" s="156" t="s">
        <v>206</v>
      </c>
      <c r="Z65" s="157"/>
      <c r="AA65" s="78" t="s">
        <v>207</v>
      </c>
      <c r="AB65" s="156" t="s">
        <v>105</v>
      </c>
      <c r="AC65" s="158"/>
      <c r="AD65" s="157"/>
      <c r="AE65" s="78" t="s">
        <v>105</v>
      </c>
      <c r="AF65" s="78" t="s">
        <v>207</v>
      </c>
      <c r="AG65" s="156" t="s">
        <v>207</v>
      </c>
      <c r="AH65" s="158"/>
      <c r="AI65" s="157"/>
      <c r="AJ65" s="78" t="s">
        <v>105</v>
      </c>
      <c r="AK65" s="78" t="s">
        <v>207</v>
      </c>
      <c r="AL65" s="78" t="s">
        <v>105</v>
      </c>
      <c r="AM65" s="74" t="s">
        <v>105</v>
      </c>
      <c r="AN65" s="154" t="s">
        <v>105</v>
      </c>
      <c r="AO65" s="155"/>
      <c r="AQ65" s="74" t="s">
        <v>105</v>
      </c>
      <c r="AR65" s="74" t="s">
        <v>207</v>
      </c>
      <c r="AS65" s="74" t="s">
        <v>105</v>
      </c>
    </row>
    <row r="66" spans="1:45" ht="16.5" x14ac:dyDescent="0.25">
      <c r="A66" s="74" t="s">
        <v>103</v>
      </c>
      <c r="B66" s="74" t="s">
        <v>108</v>
      </c>
      <c r="C66" s="74" t="s">
        <v>109</v>
      </c>
      <c r="D66" s="74" t="s">
        <v>174</v>
      </c>
      <c r="E66" s="74" t="s">
        <v>128</v>
      </c>
      <c r="F66" s="74" t="s">
        <v>108</v>
      </c>
      <c r="G66" s="74" t="s">
        <v>113</v>
      </c>
      <c r="H66" s="74"/>
      <c r="I66" s="74"/>
      <c r="K66" s="154"/>
      <c r="L66" s="155"/>
      <c r="M66" s="74"/>
      <c r="N66" s="74"/>
      <c r="O66" s="74"/>
      <c r="P66" s="154"/>
      <c r="Q66" s="155"/>
      <c r="R66" s="74"/>
      <c r="S66" s="74"/>
      <c r="T66" s="74"/>
      <c r="U66" s="74"/>
      <c r="V66" s="74"/>
      <c r="W66" s="74"/>
      <c r="X66" s="75" t="s">
        <v>57</v>
      </c>
      <c r="Y66" s="156" t="s">
        <v>208</v>
      </c>
      <c r="Z66" s="157"/>
      <c r="AA66" s="78" t="s">
        <v>207</v>
      </c>
      <c r="AB66" s="156" t="s">
        <v>105</v>
      </c>
      <c r="AC66" s="158"/>
      <c r="AD66" s="157"/>
      <c r="AE66" s="78" t="s">
        <v>105</v>
      </c>
      <c r="AF66" s="78" t="s">
        <v>207</v>
      </c>
      <c r="AG66" s="156" t="s">
        <v>207</v>
      </c>
      <c r="AH66" s="158"/>
      <c r="AI66" s="157"/>
      <c r="AJ66" s="78" t="s">
        <v>105</v>
      </c>
      <c r="AK66" s="78" t="s">
        <v>207</v>
      </c>
      <c r="AL66" s="78" t="s">
        <v>105</v>
      </c>
      <c r="AM66" s="74" t="s">
        <v>105</v>
      </c>
      <c r="AN66" s="154" t="s">
        <v>105</v>
      </c>
      <c r="AO66" s="155"/>
      <c r="AQ66" s="74" t="s">
        <v>105</v>
      </c>
      <c r="AR66" s="74" t="s">
        <v>207</v>
      </c>
      <c r="AS66" s="74" t="s">
        <v>105</v>
      </c>
    </row>
    <row r="67" spans="1:45" ht="16.5" x14ac:dyDescent="0.25">
      <c r="A67" s="74" t="s">
        <v>103</v>
      </c>
      <c r="B67" s="74" t="s">
        <v>108</v>
      </c>
      <c r="C67" s="74" t="s">
        <v>109</v>
      </c>
      <c r="D67" s="74" t="s">
        <v>174</v>
      </c>
      <c r="E67" s="74" t="s">
        <v>128</v>
      </c>
      <c r="F67" s="74" t="s">
        <v>108</v>
      </c>
      <c r="G67" s="74" t="s">
        <v>113</v>
      </c>
      <c r="H67" s="74" t="s">
        <v>109</v>
      </c>
      <c r="I67" s="74"/>
      <c r="K67" s="154"/>
      <c r="L67" s="155"/>
      <c r="M67" s="74"/>
      <c r="N67" s="74"/>
      <c r="O67" s="74"/>
      <c r="P67" s="154"/>
      <c r="Q67" s="155"/>
      <c r="R67" s="74"/>
      <c r="S67" s="74"/>
      <c r="T67" s="74"/>
      <c r="U67" s="74"/>
      <c r="V67" s="74"/>
      <c r="W67" s="74"/>
      <c r="X67" s="75" t="s">
        <v>57</v>
      </c>
      <c r="Y67" s="156" t="s">
        <v>209</v>
      </c>
      <c r="Z67" s="157"/>
      <c r="AA67" s="78" t="s">
        <v>207</v>
      </c>
      <c r="AB67" s="156" t="s">
        <v>105</v>
      </c>
      <c r="AC67" s="158"/>
      <c r="AD67" s="157"/>
      <c r="AE67" s="78" t="s">
        <v>105</v>
      </c>
      <c r="AF67" s="78" t="s">
        <v>207</v>
      </c>
      <c r="AG67" s="156" t="s">
        <v>207</v>
      </c>
      <c r="AH67" s="158"/>
      <c r="AI67" s="157"/>
      <c r="AJ67" s="78" t="s">
        <v>105</v>
      </c>
      <c r="AK67" s="78" t="s">
        <v>207</v>
      </c>
      <c r="AL67" s="78" t="s">
        <v>105</v>
      </c>
      <c r="AM67" s="74" t="s">
        <v>105</v>
      </c>
      <c r="AN67" s="154" t="s">
        <v>105</v>
      </c>
      <c r="AO67" s="155"/>
      <c r="AQ67" s="74" t="s">
        <v>105</v>
      </c>
      <c r="AR67" s="74" t="s">
        <v>207</v>
      </c>
      <c r="AS67" s="74" t="s">
        <v>105</v>
      </c>
    </row>
    <row r="68" spans="1:45" ht="16.5" x14ac:dyDescent="0.25">
      <c r="A68" s="74" t="s">
        <v>103</v>
      </c>
      <c r="B68" s="74" t="s">
        <v>108</v>
      </c>
      <c r="C68" s="74" t="s">
        <v>109</v>
      </c>
      <c r="D68" s="74" t="s">
        <v>174</v>
      </c>
      <c r="E68" s="74" t="s">
        <v>128</v>
      </c>
      <c r="F68" s="74" t="s">
        <v>174</v>
      </c>
      <c r="G68" s="74"/>
      <c r="H68" s="74"/>
      <c r="I68" s="74"/>
      <c r="K68" s="154"/>
      <c r="L68" s="155"/>
      <c r="M68" s="74"/>
      <c r="N68" s="74"/>
      <c r="O68" s="74"/>
      <c r="P68" s="154"/>
      <c r="Q68" s="155"/>
      <c r="R68" s="74"/>
      <c r="S68" s="74"/>
      <c r="T68" s="74"/>
      <c r="U68" s="74"/>
      <c r="V68" s="74"/>
      <c r="W68" s="74"/>
      <c r="X68" s="75" t="s">
        <v>57</v>
      </c>
      <c r="Y68" s="156" t="s">
        <v>210</v>
      </c>
      <c r="Z68" s="157"/>
      <c r="AA68" s="78" t="s">
        <v>211</v>
      </c>
      <c r="AB68" s="156" t="s">
        <v>105</v>
      </c>
      <c r="AC68" s="158"/>
      <c r="AD68" s="157"/>
      <c r="AE68" s="78" t="s">
        <v>105</v>
      </c>
      <c r="AF68" s="78" t="s">
        <v>211</v>
      </c>
      <c r="AG68" s="156" t="s">
        <v>211</v>
      </c>
      <c r="AH68" s="158"/>
      <c r="AI68" s="157"/>
      <c r="AJ68" s="78" t="s">
        <v>105</v>
      </c>
      <c r="AK68" s="78" t="s">
        <v>211</v>
      </c>
      <c r="AL68" s="78" t="s">
        <v>105</v>
      </c>
      <c r="AM68" s="74" t="s">
        <v>105</v>
      </c>
      <c r="AN68" s="154" t="s">
        <v>105</v>
      </c>
      <c r="AO68" s="155"/>
      <c r="AQ68" s="74" t="s">
        <v>105</v>
      </c>
      <c r="AR68" s="74" t="s">
        <v>211</v>
      </c>
      <c r="AS68" s="74" t="s">
        <v>105</v>
      </c>
    </row>
    <row r="69" spans="1:45" ht="16.5" x14ac:dyDescent="0.25">
      <c r="A69" s="74" t="s">
        <v>103</v>
      </c>
      <c r="B69" s="74" t="s">
        <v>108</v>
      </c>
      <c r="C69" s="74" t="s">
        <v>109</v>
      </c>
      <c r="D69" s="74" t="s">
        <v>174</v>
      </c>
      <c r="E69" s="74" t="s">
        <v>128</v>
      </c>
      <c r="F69" s="74" t="s">
        <v>174</v>
      </c>
      <c r="G69" s="74" t="s">
        <v>109</v>
      </c>
      <c r="H69" s="74"/>
      <c r="I69" s="74"/>
      <c r="K69" s="154"/>
      <c r="L69" s="155"/>
      <c r="M69" s="74"/>
      <c r="N69" s="74"/>
      <c r="O69" s="74"/>
      <c r="P69" s="154"/>
      <c r="Q69" s="155"/>
      <c r="R69" s="74"/>
      <c r="S69" s="74"/>
      <c r="T69" s="74"/>
      <c r="U69" s="74"/>
      <c r="V69" s="74"/>
      <c r="W69" s="74"/>
      <c r="X69" s="75" t="s">
        <v>57</v>
      </c>
      <c r="Y69" s="156" t="s">
        <v>212</v>
      </c>
      <c r="Z69" s="157"/>
      <c r="AA69" s="78" t="s">
        <v>211</v>
      </c>
      <c r="AB69" s="156" t="s">
        <v>105</v>
      </c>
      <c r="AC69" s="158"/>
      <c r="AD69" s="157"/>
      <c r="AE69" s="78" t="s">
        <v>105</v>
      </c>
      <c r="AF69" s="78" t="s">
        <v>211</v>
      </c>
      <c r="AG69" s="156" t="s">
        <v>211</v>
      </c>
      <c r="AH69" s="158"/>
      <c r="AI69" s="157"/>
      <c r="AJ69" s="78" t="s">
        <v>105</v>
      </c>
      <c r="AK69" s="78" t="s">
        <v>211</v>
      </c>
      <c r="AL69" s="78" t="s">
        <v>105</v>
      </c>
      <c r="AM69" s="74" t="s">
        <v>105</v>
      </c>
      <c r="AN69" s="154" t="s">
        <v>105</v>
      </c>
      <c r="AO69" s="155"/>
      <c r="AQ69" s="74" t="s">
        <v>105</v>
      </c>
      <c r="AR69" s="74" t="s">
        <v>211</v>
      </c>
      <c r="AS69" s="74" t="s">
        <v>105</v>
      </c>
    </row>
    <row r="70" spans="1:45" ht="16.5" x14ac:dyDescent="0.25">
      <c r="A70" s="74" t="s">
        <v>103</v>
      </c>
      <c r="B70" s="74" t="s">
        <v>108</v>
      </c>
      <c r="C70" s="74" t="s">
        <v>109</v>
      </c>
      <c r="D70" s="74" t="s">
        <v>174</v>
      </c>
      <c r="E70" s="74" t="s">
        <v>128</v>
      </c>
      <c r="F70" s="74" t="s">
        <v>174</v>
      </c>
      <c r="G70" s="74" t="s">
        <v>109</v>
      </c>
      <c r="H70" s="74" t="s">
        <v>121</v>
      </c>
      <c r="I70" s="74"/>
      <c r="K70" s="154"/>
      <c r="L70" s="155"/>
      <c r="M70" s="74"/>
      <c r="N70" s="74"/>
      <c r="O70" s="74"/>
      <c r="P70" s="154"/>
      <c r="Q70" s="155"/>
      <c r="R70" s="74"/>
      <c r="S70" s="74"/>
      <c r="T70" s="74"/>
      <c r="U70" s="74"/>
      <c r="V70" s="74"/>
      <c r="W70" s="74"/>
      <c r="X70" s="75" t="s">
        <v>57</v>
      </c>
      <c r="Y70" s="156" t="s">
        <v>213</v>
      </c>
      <c r="Z70" s="157"/>
      <c r="AA70" s="78" t="s">
        <v>214</v>
      </c>
      <c r="AB70" s="156" t="s">
        <v>105</v>
      </c>
      <c r="AC70" s="158"/>
      <c r="AD70" s="157"/>
      <c r="AE70" s="78" t="s">
        <v>105</v>
      </c>
      <c r="AF70" s="78" t="s">
        <v>214</v>
      </c>
      <c r="AG70" s="156" t="s">
        <v>214</v>
      </c>
      <c r="AH70" s="158"/>
      <c r="AI70" s="157"/>
      <c r="AJ70" s="78" t="s">
        <v>105</v>
      </c>
      <c r="AK70" s="78" t="s">
        <v>214</v>
      </c>
      <c r="AL70" s="78" t="s">
        <v>105</v>
      </c>
      <c r="AM70" s="74" t="s">
        <v>105</v>
      </c>
      <c r="AN70" s="154" t="s">
        <v>105</v>
      </c>
      <c r="AO70" s="155"/>
      <c r="AQ70" s="74" t="s">
        <v>105</v>
      </c>
      <c r="AR70" s="74" t="s">
        <v>214</v>
      </c>
      <c r="AS70" s="74" t="s">
        <v>105</v>
      </c>
    </row>
    <row r="71" spans="1:45" ht="16.5" x14ac:dyDescent="0.25">
      <c r="A71" s="74" t="s">
        <v>103</v>
      </c>
      <c r="B71" s="74" t="s">
        <v>108</v>
      </c>
      <c r="C71" s="74" t="s">
        <v>109</v>
      </c>
      <c r="D71" s="74" t="s">
        <v>174</v>
      </c>
      <c r="E71" s="74" t="s">
        <v>128</v>
      </c>
      <c r="F71" s="74" t="s">
        <v>174</v>
      </c>
      <c r="G71" s="74" t="s">
        <v>109</v>
      </c>
      <c r="H71" s="74" t="s">
        <v>125</v>
      </c>
      <c r="I71" s="74"/>
      <c r="K71" s="154"/>
      <c r="L71" s="155"/>
      <c r="M71" s="74"/>
      <c r="N71" s="74"/>
      <c r="O71" s="74"/>
      <c r="P71" s="154"/>
      <c r="Q71" s="155"/>
      <c r="R71" s="74"/>
      <c r="S71" s="74"/>
      <c r="T71" s="74"/>
      <c r="U71" s="74"/>
      <c r="V71" s="74"/>
      <c r="W71" s="74"/>
      <c r="X71" s="75" t="s">
        <v>57</v>
      </c>
      <c r="Y71" s="156" t="s">
        <v>215</v>
      </c>
      <c r="Z71" s="157"/>
      <c r="AA71" s="78" t="s">
        <v>216</v>
      </c>
      <c r="AB71" s="156" t="s">
        <v>105</v>
      </c>
      <c r="AC71" s="158"/>
      <c r="AD71" s="157"/>
      <c r="AE71" s="78" t="s">
        <v>105</v>
      </c>
      <c r="AF71" s="78" t="s">
        <v>216</v>
      </c>
      <c r="AG71" s="156" t="s">
        <v>216</v>
      </c>
      <c r="AH71" s="158"/>
      <c r="AI71" s="157"/>
      <c r="AJ71" s="78" t="s">
        <v>105</v>
      </c>
      <c r="AK71" s="78" t="s">
        <v>216</v>
      </c>
      <c r="AL71" s="78" t="s">
        <v>105</v>
      </c>
      <c r="AM71" s="74" t="s">
        <v>105</v>
      </c>
      <c r="AN71" s="154" t="s">
        <v>105</v>
      </c>
      <c r="AO71" s="155"/>
      <c r="AQ71" s="74" t="s">
        <v>105</v>
      </c>
      <c r="AR71" s="74" t="s">
        <v>216</v>
      </c>
      <c r="AS71" s="74" t="s">
        <v>105</v>
      </c>
    </row>
    <row r="72" spans="1:45" x14ac:dyDescent="0.25">
      <c r="A72" s="74" t="s">
        <v>103</v>
      </c>
      <c r="B72" s="74" t="s">
        <v>108</v>
      </c>
      <c r="C72" s="74" t="s">
        <v>109</v>
      </c>
      <c r="D72" s="74" t="s">
        <v>174</v>
      </c>
      <c r="E72" s="74" t="s">
        <v>128</v>
      </c>
      <c r="F72" s="74" t="s">
        <v>103</v>
      </c>
      <c r="G72" s="74"/>
      <c r="H72" s="74"/>
      <c r="I72" s="74"/>
      <c r="K72" s="154"/>
      <c r="L72" s="155"/>
      <c r="M72" s="74"/>
      <c r="N72" s="74"/>
      <c r="O72" s="74"/>
      <c r="P72" s="154"/>
      <c r="Q72" s="155"/>
      <c r="R72" s="74"/>
      <c r="S72" s="74"/>
      <c r="T72" s="74"/>
      <c r="U72" s="74"/>
      <c r="V72" s="74"/>
      <c r="W72" s="74"/>
      <c r="X72" s="75" t="s">
        <v>57</v>
      </c>
      <c r="Y72" s="156" t="s">
        <v>217</v>
      </c>
      <c r="Z72" s="157"/>
      <c r="AA72" s="78" t="s">
        <v>218</v>
      </c>
      <c r="AB72" s="156" t="s">
        <v>105</v>
      </c>
      <c r="AC72" s="158"/>
      <c r="AD72" s="157"/>
      <c r="AE72" s="78" t="s">
        <v>105</v>
      </c>
      <c r="AF72" s="78" t="s">
        <v>218</v>
      </c>
      <c r="AG72" s="156" t="s">
        <v>218</v>
      </c>
      <c r="AH72" s="158"/>
      <c r="AI72" s="157"/>
      <c r="AJ72" s="78" t="s">
        <v>105</v>
      </c>
      <c r="AK72" s="78" t="s">
        <v>218</v>
      </c>
      <c r="AL72" s="78" t="s">
        <v>105</v>
      </c>
      <c r="AM72" s="74" t="s">
        <v>105</v>
      </c>
      <c r="AN72" s="154" t="s">
        <v>105</v>
      </c>
      <c r="AO72" s="155"/>
      <c r="AQ72" s="74" t="s">
        <v>105</v>
      </c>
      <c r="AR72" s="74" t="s">
        <v>218</v>
      </c>
      <c r="AS72" s="74" t="s">
        <v>105</v>
      </c>
    </row>
    <row r="73" spans="1:45" x14ac:dyDescent="0.25">
      <c r="A73" s="74" t="s">
        <v>103</v>
      </c>
      <c r="B73" s="74" t="s">
        <v>108</v>
      </c>
      <c r="C73" s="74" t="s">
        <v>109</v>
      </c>
      <c r="D73" s="74" t="s">
        <v>174</v>
      </c>
      <c r="E73" s="74" t="s">
        <v>128</v>
      </c>
      <c r="F73" s="74" t="s">
        <v>103</v>
      </c>
      <c r="G73" s="74" t="s">
        <v>125</v>
      </c>
      <c r="H73" s="74"/>
      <c r="I73" s="74"/>
      <c r="K73" s="154"/>
      <c r="L73" s="155"/>
      <c r="M73" s="74"/>
      <c r="N73" s="74"/>
      <c r="O73" s="74"/>
      <c r="P73" s="154"/>
      <c r="Q73" s="155"/>
      <c r="R73" s="74"/>
      <c r="S73" s="74"/>
      <c r="T73" s="74"/>
      <c r="U73" s="74"/>
      <c r="V73" s="74"/>
      <c r="W73" s="74"/>
      <c r="X73" s="75" t="s">
        <v>57</v>
      </c>
      <c r="Y73" s="156" t="s">
        <v>219</v>
      </c>
      <c r="Z73" s="157"/>
      <c r="AA73" s="78" t="s">
        <v>218</v>
      </c>
      <c r="AB73" s="156" t="s">
        <v>105</v>
      </c>
      <c r="AC73" s="158"/>
      <c r="AD73" s="157"/>
      <c r="AE73" s="78" t="s">
        <v>105</v>
      </c>
      <c r="AF73" s="78" t="s">
        <v>218</v>
      </c>
      <c r="AG73" s="156" t="s">
        <v>218</v>
      </c>
      <c r="AH73" s="158"/>
      <c r="AI73" s="157"/>
      <c r="AJ73" s="78" t="s">
        <v>105</v>
      </c>
      <c r="AK73" s="78" t="s">
        <v>218</v>
      </c>
      <c r="AL73" s="78" t="s">
        <v>105</v>
      </c>
      <c r="AM73" s="74" t="s">
        <v>105</v>
      </c>
      <c r="AN73" s="154" t="s">
        <v>105</v>
      </c>
      <c r="AO73" s="155"/>
      <c r="AQ73" s="74" t="s">
        <v>105</v>
      </c>
      <c r="AR73" s="74" t="s">
        <v>218</v>
      </c>
      <c r="AS73" s="74" t="s">
        <v>105</v>
      </c>
    </row>
    <row r="74" spans="1:45" ht="16.5" x14ac:dyDescent="0.25">
      <c r="A74" s="74" t="s">
        <v>103</v>
      </c>
      <c r="B74" s="74" t="s">
        <v>108</v>
      </c>
      <c r="C74" s="74" t="s">
        <v>109</v>
      </c>
      <c r="D74" s="74" t="s">
        <v>174</v>
      </c>
      <c r="E74" s="74" t="s">
        <v>220</v>
      </c>
      <c r="F74" s="74"/>
      <c r="G74" s="74"/>
      <c r="H74" s="74"/>
      <c r="I74" s="74"/>
      <c r="K74" s="154"/>
      <c r="L74" s="155"/>
      <c r="M74" s="74"/>
      <c r="N74" s="74"/>
      <c r="O74" s="74"/>
      <c r="P74" s="154"/>
      <c r="Q74" s="155"/>
      <c r="R74" s="74"/>
      <c r="S74" s="74"/>
      <c r="T74" s="74"/>
      <c r="U74" s="74"/>
      <c r="V74" s="74"/>
      <c r="W74" s="74"/>
      <c r="X74" s="75" t="s">
        <v>57</v>
      </c>
      <c r="Y74" s="156" t="s">
        <v>25</v>
      </c>
      <c r="Z74" s="157"/>
      <c r="AA74" s="78" t="s">
        <v>221</v>
      </c>
      <c r="AB74" s="156" t="s">
        <v>105</v>
      </c>
      <c r="AC74" s="158"/>
      <c r="AD74" s="157"/>
      <c r="AE74" s="78" t="s">
        <v>105</v>
      </c>
      <c r="AF74" s="78" t="s">
        <v>221</v>
      </c>
      <c r="AG74" s="156" t="s">
        <v>221</v>
      </c>
      <c r="AH74" s="158"/>
      <c r="AI74" s="157"/>
      <c r="AJ74" s="78" t="s">
        <v>105</v>
      </c>
      <c r="AK74" s="78" t="s">
        <v>221</v>
      </c>
      <c r="AL74" s="78" t="s">
        <v>105</v>
      </c>
      <c r="AM74" s="74" t="s">
        <v>105</v>
      </c>
      <c r="AN74" s="154" t="s">
        <v>105</v>
      </c>
      <c r="AO74" s="155"/>
      <c r="AQ74" s="74" t="s">
        <v>105</v>
      </c>
      <c r="AR74" s="74" t="s">
        <v>221</v>
      </c>
      <c r="AS74" s="74" t="s">
        <v>105</v>
      </c>
    </row>
    <row r="75" spans="1:45" ht="16.5" x14ac:dyDescent="0.25">
      <c r="A75" s="74" t="s">
        <v>103</v>
      </c>
      <c r="B75" s="74" t="s">
        <v>108</v>
      </c>
      <c r="C75" s="74" t="s">
        <v>109</v>
      </c>
      <c r="D75" s="74" t="s">
        <v>174</v>
      </c>
      <c r="E75" s="74" t="s">
        <v>220</v>
      </c>
      <c r="F75" s="74" t="s">
        <v>103</v>
      </c>
      <c r="G75" s="74"/>
      <c r="H75" s="74"/>
      <c r="I75" s="74"/>
      <c r="K75" s="154"/>
      <c r="L75" s="155"/>
      <c r="M75" s="74"/>
      <c r="N75" s="74"/>
      <c r="O75" s="74"/>
      <c r="P75" s="154"/>
      <c r="Q75" s="155"/>
      <c r="R75" s="74"/>
      <c r="S75" s="74"/>
      <c r="T75" s="74"/>
      <c r="U75" s="74"/>
      <c r="V75" s="74"/>
      <c r="W75" s="74"/>
      <c r="X75" s="75" t="s">
        <v>57</v>
      </c>
      <c r="Y75" s="156" t="s">
        <v>212</v>
      </c>
      <c r="Z75" s="157"/>
      <c r="AA75" s="78" t="s">
        <v>221</v>
      </c>
      <c r="AB75" s="156" t="s">
        <v>105</v>
      </c>
      <c r="AC75" s="158"/>
      <c r="AD75" s="157"/>
      <c r="AE75" s="78" t="s">
        <v>105</v>
      </c>
      <c r="AF75" s="78" t="s">
        <v>221</v>
      </c>
      <c r="AG75" s="156" t="s">
        <v>221</v>
      </c>
      <c r="AH75" s="158"/>
      <c r="AI75" s="157"/>
      <c r="AJ75" s="78" t="s">
        <v>105</v>
      </c>
      <c r="AK75" s="78" t="s">
        <v>221</v>
      </c>
      <c r="AL75" s="78" t="s">
        <v>105</v>
      </c>
      <c r="AM75" s="74" t="s">
        <v>105</v>
      </c>
      <c r="AN75" s="154" t="s">
        <v>105</v>
      </c>
      <c r="AO75" s="155"/>
      <c r="AQ75" s="74" t="s">
        <v>105</v>
      </c>
      <c r="AR75" s="74" t="s">
        <v>221</v>
      </c>
      <c r="AS75" s="74" t="s">
        <v>105</v>
      </c>
    </row>
    <row r="76" spans="1:45" ht="16.5" x14ac:dyDescent="0.25">
      <c r="A76" s="74" t="s">
        <v>103</v>
      </c>
      <c r="B76" s="74" t="s">
        <v>108</v>
      </c>
      <c r="C76" s="74" t="s">
        <v>109</v>
      </c>
      <c r="D76" s="74" t="s">
        <v>174</v>
      </c>
      <c r="E76" s="74" t="s">
        <v>220</v>
      </c>
      <c r="F76" s="74" t="s">
        <v>103</v>
      </c>
      <c r="G76" s="74" t="s">
        <v>121</v>
      </c>
      <c r="H76" s="74"/>
      <c r="I76" s="74"/>
      <c r="K76" s="154"/>
      <c r="L76" s="155"/>
      <c r="M76" s="74"/>
      <c r="N76" s="74"/>
      <c r="O76" s="74"/>
      <c r="P76" s="154"/>
      <c r="Q76" s="155"/>
      <c r="R76" s="74"/>
      <c r="S76" s="74"/>
      <c r="T76" s="74"/>
      <c r="U76" s="74"/>
      <c r="V76" s="74"/>
      <c r="W76" s="74"/>
      <c r="X76" s="75" t="s">
        <v>57</v>
      </c>
      <c r="Y76" s="156" t="s">
        <v>213</v>
      </c>
      <c r="Z76" s="157"/>
      <c r="AA76" s="78" t="s">
        <v>222</v>
      </c>
      <c r="AB76" s="156" t="s">
        <v>105</v>
      </c>
      <c r="AC76" s="158"/>
      <c r="AD76" s="157"/>
      <c r="AE76" s="78" t="s">
        <v>105</v>
      </c>
      <c r="AF76" s="78" t="s">
        <v>222</v>
      </c>
      <c r="AG76" s="156" t="s">
        <v>222</v>
      </c>
      <c r="AH76" s="158"/>
      <c r="AI76" s="157"/>
      <c r="AJ76" s="78" t="s">
        <v>105</v>
      </c>
      <c r="AK76" s="78" t="s">
        <v>222</v>
      </c>
      <c r="AL76" s="78" t="s">
        <v>105</v>
      </c>
      <c r="AM76" s="74" t="s">
        <v>105</v>
      </c>
      <c r="AN76" s="154" t="s">
        <v>105</v>
      </c>
      <c r="AO76" s="155"/>
      <c r="AQ76" s="74" t="s">
        <v>105</v>
      </c>
      <c r="AR76" s="74" t="s">
        <v>222</v>
      </c>
      <c r="AS76" s="74" t="s">
        <v>105</v>
      </c>
    </row>
    <row r="77" spans="1:45" ht="16.5" x14ac:dyDescent="0.25">
      <c r="A77" s="74" t="s">
        <v>103</v>
      </c>
      <c r="B77" s="74" t="s">
        <v>108</v>
      </c>
      <c r="C77" s="74" t="s">
        <v>109</v>
      </c>
      <c r="D77" s="74" t="s">
        <v>174</v>
      </c>
      <c r="E77" s="74" t="s">
        <v>220</v>
      </c>
      <c r="F77" s="74" t="s">
        <v>103</v>
      </c>
      <c r="G77" s="74" t="s">
        <v>125</v>
      </c>
      <c r="H77" s="74"/>
      <c r="I77" s="74"/>
      <c r="K77" s="154"/>
      <c r="L77" s="155"/>
      <c r="M77" s="74"/>
      <c r="N77" s="74"/>
      <c r="O77" s="74"/>
      <c r="P77" s="154"/>
      <c r="Q77" s="155"/>
      <c r="R77" s="74"/>
      <c r="S77" s="74"/>
      <c r="T77" s="74"/>
      <c r="U77" s="74"/>
      <c r="V77" s="74"/>
      <c r="W77" s="74"/>
      <c r="X77" s="75" t="s">
        <v>57</v>
      </c>
      <c r="Y77" s="156" t="s">
        <v>215</v>
      </c>
      <c r="Z77" s="157"/>
      <c r="AA77" s="78" t="s">
        <v>223</v>
      </c>
      <c r="AB77" s="156" t="s">
        <v>105</v>
      </c>
      <c r="AC77" s="158"/>
      <c r="AD77" s="157"/>
      <c r="AE77" s="78" t="s">
        <v>105</v>
      </c>
      <c r="AF77" s="78" t="s">
        <v>223</v>
      </c>
      <c r="AG77" s="156" t="s">
        <v>223</v>
      </c>
      <c r="AH77" s="158"/>
      <c r="AI77" s="157"/>
      <c r="AJ77" s="78" t="s">
        <v>105</v>
      </c>
      <c r="AK77" s="78" t="s">
        <v>223</v>
      </c>
      <c r="AL77" s="78" t="s">
        <v>105</v>
      </c>
      <c r="AM77" s="74" t="s">
        <v>105</v>
      </c>
      <c r="AN77" s="154" t="s">
        <v>105</v>
      </c>
      <c r="AO77" s="155"/>
      <c r="AQ77" s="74" t="s">
        <v>105</v>
      </c>
      <c r="AR77" s="74" t="s">
        <v>223</v>
      </c>
      <c r="AS77" s="74" t="s">
        <v>105</v>
      </c>
    </row>
    <row r="78" spans="1:45" ht="16.5" x14ac:dyDescent="0.25">
      <c r="A78" s="74" t="s">
        <v>103</v>
      </c>
      <c r="B78" s="74" t="s">
        <v>108</v>
      </c>
      <c r="C78" s="74" t="s">
        <v>109</v>
      </c>
      <c r="D78" s="74" t="s">
        <v>174</v>
      </c>
      <c r="E78" s="74" t="s">
        <v>224</v>
      </c>
      <c r="F78" s="74"/>
      <c r="G78" s="74"/>
      <c r="H78" s="74"/>
      <c r="I78" s="74"/>
      <c r="K78" s="154"/>
      <c r="L78" s="155"/>
      <c r="M78" s="74"/>
      <c r="N78" s="74"/>
      <c r="O78" s="74"/>
      <c r="P78" s="154"/>
      <c r="Q78" s="155"/>
      <c r="R78" s="74"/>
      <c r="S78" s="74"/>
      <c r="T78" s="74"/>
      <c r="U78" s="74"/>
      <c r="V78" s="74"/>
      <c r="W78" s="74"/>
      <c r="X78" s="75" t="s">
        <v>57</v>
      </c>
      <c r="Y78" s="156" t="s">
        <v>27</v>
      </c>
      <c r="Z78" s="157"/>
      <c r="AA78" s="78" t="s">
        <v>225</v>
      </c>
      <c r="AB78" s="156" t="s">
        <v>105</v>
      </c>
      <c r="AC78" s="158"/>
      <c r="AD78" s="157"/>
      <c r="AE78" s="78" t="s">
        <v>105</v>
      </c>
      <c r="AF78" s="78" t="s">
        <v>225</v>
      </c>
      <c r="AG78" s="156" t="s">
        <v>226</v>
      </c>
      <c r="AH78" s="158"/>
      <c r="AI78" s="157"/>
      <c r="AJ78" s="78" t="s">
        <v>105</v>
      </c>
      <c r="AK78" s="78" t="s">
        <v>226</v>
      </c>
      <c r="AL78" s="78" t="s">
        <v>105</v>
      </c>
      <c r="AM78" s="74" t="s">
        <v>105</v>
      </c>
      <c r="AN78" s="154" t="s">
        <v>105</v>
      </c>
      <c r="AO78" s="155"/>
      <c r="AQ78" s="74" t="s">
        <v>105</v>
      </c>
      <c r="AR78" s="74" t="s">
        <v>226</v>
      </c>
      <c r="AS78" s="74" t="s">
        <v>204</v>
      </c>
    </row>
    <row r="79" spans="1:45" ht="16.5" x14ac:dyDescent="0.25">
      <c r="A79" s="74" t="s">
        <v>103</v>
      </c>
      <c r="B79" s="74" t="s">
        <v>108</v>
      </c>
      <c r="C79" s="74" t="s">
        <v>109</v>
      </c>
      <c r="D79" s="74" t="s">
        <v>174</v>
      </c>
      <c r="E79" s="74" t="s">
        <v>224</v>
      </c>
      <c r="F79" s="74" t="s">
        <v>108</v>
      </c>
      <c r="G79" s="74"/>
      <c r="H79" s="74"/>
      <c r="I79" s="74"/>
      <c r="K79" s="154"/>
      <c r="L79" s="155"/>
      <c r="M79" s="74"/>
      <c r="N79" s="74"/>
      <c r="O79" s="74"/>
      <c r="P79" s="154"/>
      <c r="Q79" s="155"/>
      <c r="R79" s="74"/>
      <c r="S79" s="74"/>
      <c r="T79" s="74"/>
      <c r="U79" s="74"/>
      <c r="V79" s="74"/>
      <c r="W79" s="74"/>
      <c r="X79" s="75" t="s">
        <v>57</v>
      </c>
      <c r="Y79" s="156" t="s">
        <v>227</v>
      </c>
      <c r="Z79" s="157"/>
      <c r="AA79" s="78" t="s">
        <v>228</v>
      </c>
      <c r="AB79" s="156" t="s">
        <v>105</v>
      </c>
      <c r="AC79" s="158"/>
      <c r="AD79" s="157"/>
      <c r="AE79" s="78" t="s">
        <v>105</v>
      </c>
      <c r="AF79" s="78" t="s">
        <v>228</v>
      </c>
      <c r="AG79" s="156" t="s">
        <v>228</v>
      </c>
      <c r="AH79" s="158"/>
      <c r="AI79" s="157"/>
      <c r="AJ79" s="78" t="s">
        <v>105</v>
      </c>
      <c r="AK79" s="78" t="s">
        <v>228</v>
      </c>
      <c r="AL79" s="78" t="s">
        <v>105</v>
      </c>
      <c r="AM79" s="74" t="s">
        <v>105</v>
      </c>
      <c r="AN79" s="154" t="s">
        <v>105</v>
      </c>
      <c r="AO79" s="155"/>
      <c r="AQ79" s="74" t="s">
        <v>105</v>
      </c>
      <c r="AR79" s="74" t="s">
        <v>228</v>
      </c>
      <c r="AS79" s="74" t="s">
        <v>105</v>
      </c>
    </row>
    <row r="80" spans="1:45" ht="16.5" x14ac:dyDescent="0.25">
      <c r="A80" s="74" t="s">
        <v>103</v>
      </c>
      <c r="B80" s="74" t="s">
        <v>108</v>
      </c>
      <c r="C80" s="74" t="s">
        <v>109</v>
      </c>
      <c r="D80" s="74" t="s">
        <v>174</v>
      </c>
      <c r="E80" s="74" t="s">
        <v>224</v>
      </c>
      <c r="F80" s="74" t="s">
        <v>108</v>
      </c>
      <c r="G80" s="74" t="s">
        <v>109</v>
      </c>
      <c r="H80" s="74"/>
      <c r="I80" s="74"/>
      <c r="K80" s="154"/>
      <c r="L80" s="155"/>
      <c r="M80" s="74"/>
      <c r="N80" s="74"/>
      <c r="O80" s="74"/>
      <c r="P80" s="154"/>
      <c r="Q80" s="155"/>
      <c r="R80" s="74"/>
      <c r="S80" s="74"/>
      <c r="T80" s="74"/>
      <c r="U80" s="74"/>
      <c r="V80" s="74"/>
      <c r="W80" s="74"/>
      <c r="X80" s="75" t="s">
        <v>57</v>
      </c>
      <c r="Y80" s="156" t="s">
        <v>229</v>
      </c>
      <c r="Z80" s="157"/>
      <c r="AA80" s="78" t="s">
        <v>230</v>
      </c>
      <c r="AB80" s="156" t="s">
        <v>105</v>
      </c>
      <c r="AC80" s="158"/>
      <c r="AD80" s="157"/>
      <c r="AE80" s="78" t="s">
        <v>105</v>
      </c>
      <c r="AF80" s="78" t="s">
        <v>230</v>
      </c>
      <c r="AG80" s="156" t="s">
        <v>230</v>
      </c>
      <c r="AH80" s="158"/>
      <c r="AI80" s="157"/>
      <c r="AJ80" s="78" t="s">
        <v>105</v>
      </c>
      <c r="AK80" s="78" t="s">
        <v>230</v>
      </c>
      <c r="AL80" s="78" t="s">
        <v>105</v>
      </c>
      <c r="AM80" s="74" t="s">
        <v>105</v>
      </c>
      <c r="AN80" s="154" t="s">
        <v>105</v>
      </c>
      <c r="AO80" s="155"/>
      <c r="AQ80" s="74" t="s">
        <v>105</v>
      </c>
      <c r="AR80" s="74" t="s">
        <v>230</v>
      </c>
      <c r="AS80" s="74" t="s">
        <v>105</v>
      </c>
    </row>
    <row r="81" spans="1:45" x14ac:dyDescent="0.25">
      <c r="A81" s="74" t="s">
        <v>103</v>
      </c>
      <c r="B81" s="74" t="s">
        <v>108</v>
      </c>
      <c r="C81" s="74" t="s">
        <v>109</v>
      </c>
      <c r="D81" s="74" t="s">
        <v>174</v>
      </c>
      <c r="E81" s="74" t="s">
        <v>224</v>
      </c>
      <c r="F81" s="74" t="s">
        <v>108</v>
      </c>
      <c r="G81" s="74" t="s">
        <v>113</v>
      </c>
      <c r="H81" s="74"/>
      <c r="I81" s="74"/>
      <c r="K81" s="154"/>
      <c r="L81" s="155"/>
      <c r="M81" s="74"/>
      <c r="N81" s="74"/>
      <c r="O81" s="74"/>
      <c r="P81" s="154"/>
      <c r="Q81" s="155"/>
      <c r="R81" s="74"/>
      <c r="S81" s="74"/>
      <c r="T81" s="74"/>
      <c r="U81" s="74"/>
      <c r="V81" s="74"/>
      <c r="W81" s="74"/>
      <c r="X81" s="75" t="s">
        <v>57</v>
      </c>
      <c r="Y81" s="156" t="s">
        <v>231</v>
      </c>
      <c r="Z81" s="157"/>
      <c r="AA81" s="78" t="s">
        <v>232</v>
      </c>
      <c r="AB81" s="156" t="s">
        <v>105</v>
      </c>
      <c r="AC81" s="158"/>
      <c r="AD81" s="157"/>
      <c r="AE81" s="78" t="s">
        <v>105</v>
      </c>
      <c r="AF81" s="78" t="s">
        <v>232</v>
      </c>
      <c r="AG81" s="156" t="s">
        <v>232</v>
      </c>
      <c r="AH81" s="158"/>
      <c r="AI81" s="157"/>
      <c r="AJ81" s="78" t="s">
        <v>105</v>
      </c>
      <c r="AK81" s="78" t="s">
        <v>232</v>
      </c>
      <c r="AL81" s="78" t="s">
        <v>105</v>
      </c>
      <c r="AM81" s="74" t="s">
        <v>105</v>
      </c>
      <c r="AN81" s="154" t="s">
        <v>105</v>
      </c>
      <c r="AO81" s="155"/>
      <c r="AQ81" s="74" t="s">
        <v>105</v>
      </c>
      <c r="AR81" s="74" t="s">
        <v>232</v>
      </c>
      <c r="AS81" s="74" t="s">
        <v>105</v>
      </c>
    </row>
    <row r="82" spans="1:45" ht="16.5" x14ac:dyDescent="0.25">
      <c r="A82" s="74" t="s">
        <v>103</v>
      </c>
      <c r="B82" s="74" t="s">
        <v>108</v>
      </c>
      <c r="C82" s="74" t="s">
        <v>109</v>
      </c>
      <c r="D82" s="74" t="s">
        <v>174</v>
      </c>
      <c r="E82" s="74" t="s">
        <v>224</v>
      </c>
      <c r="F82" s="74" t="s">
        <v>108</v>
      </c>
      <c r="G82" s="74" t="s">
        <v>121</v>
      </c>
      <c r="H82" s="74"/>
      <c r="I82" s="74"/>
      <c r="K82" s="154"/>
      <c r="L82" s="155"/>
      <c r="M82" s="74"/>
      <c r="N82" s="74"/>
      <c r="O82" s="74"/>
      <c r="P82" s="154"/>
      <c r="Q82" s="155"/>
      <c r="R82" s="74"/>
      <c r="S82" s="74"/>
      <c r="T82" s="74"/>
      <c r="U82" s="74"/>
      <c r="V82" s="74"/>
      <c r="W82" s="74"/>
      <c r="X82" s="75" t="s">
        <v>57</v>
      </c>
      <c r="Y82" s="156" t="s">
        <v>233</v>
      </c>
      <c r="Z82" s="157"/>
      <c r="AA82" s="78" t="s">
        <v>234</v>
      </c>
      <c r="AB82" s="156" t="s">
        <v>105</v>
      </c>
      <c r="AC82" s="158"/>
      <c r="AD82" s="157"/>
      <c r="AE82" s="78" t="s">
        <v>105</v>
      </c>
      <c r="AF82" s="78" t="s">
        <v>234</v>
      </c>
      <c r="AG82" s="156" t="s">
        <v>234</v>
      </c>
      <c r="AH82" s="158"/>
      <c r="AI82" s="157"/>
      <c r="AJ82" s="78" t="s">
        <v>105</v>
      </c>
      <c r="AK82" s="78" t="s">
        <v>234</v>
      </c>
      <c r="AL82" s="78" t="s">
        <v>105</v>
      </c>
      <c r="AM82" s="74" t="s">
        <v>105</v>
      </c>
      <c r="AN82" s="154" t="s">
        <v>105</v>
      </c>
      <c r="AO82" s="155"/>
      <c r="AQ82" s="74" t="s">
        <v>105</v>
      </c>
      <c r="AR82" s="74" t="s">
        <v>234</v>
      </c>
      <c r="AS82" s="74" t="s">
        <v>105</v>
      </c>
    </row>
    <row r="83" spans="1:45" ht="16.5" x14ac:dyDescent="0.25">
      <c r="A83" s="74" t="s">
        <v>103</v>
      </c>
      <c r="B83" s="74" t="s">
        <v>108</v>
      </c>
      <c r="C83" s="74" t="s">
        <v>109</v>
      </c>
      <c r="D83" s="74" t="s">
        <v>174</v>
      </c>
      <c r="E83" s="74" t="s">
        <v>224</v>
      </c>
      <c r="F83" s="74" t="s">
        <v>174</v>
      </c>
      <c r="G83" s="74"/>
      <c r="H83" s="74"/>
      <c r="I83" s="74"/>
      <c r="K83" s="154"/>
      <c r="L83" s="155"/>
      <c r="M83" s="74"/>
      <c r="N83" s="74"/>
      <c r="O83" s="74"/>
      <c r="P83" s="154"/>
      <c r="Q83" s="155"/>
      <c r="R83" s="74"/>
      <c r="S83" s="74"/>
      <c r="T83" s="74"/>
      <c r="U83" s="74"/>
      <c r="V83" s="74"/>
      <c r="W83" s="74"/>
      <c r="X83" s="75" t="s">
        <v>57</v>
      </c>
      <c r="Y83" s="156" t="s">
        <v>235</v>
      </c>
      <c r="Z83" s="157"/>
      <c r="AA83" s="78" t="s">
        <v>236</v>
      </c>
      <c r="AB83" s="156" t="s">
        <v>105</v>
      </c>
      <c r="AC83" s="158"/>
      <c r="AD83" s="157"/>
      <c r="AE83" s="78" t="s">
        <v>105</v>
      </c>
      <c r="AF83" s="78" t="s">
        <v>236</v>
      </c>
      <c r="AG83" s="156" t="s">
        <v>237</v>
      </c>
      <c r="AH83" s="158"/>
      <c r="AI83" s="157"/>
      <c r="AJ83" s="78" t="s">
        <v>105</v>
      </c>
      <c r="AK83" s="78" t="s">
        <v>237</v>
      </c>
      <c r="AL83" s="78" t="s">
        <v>105</v>
      </c>
      <c r="AM83" s="74" t="s">
        <v>105</v>
      </c>
      <c r="AN83" s="154" t="s">
        <v>105</v>
      </c>
      <c r="AO83" s="155"/>
      <c r="AQ83" s="74" t="s">
        <v>105</v>
      </c>
      <c r="AR83" s="74" t="s">
        <v>237</v>
      </c>
      <c r="AS83" s="74" t="s">
        <v>204</v>
      </c>
    </row>
    <row r="84" spans="1:45" ht="16.5" x14ac:dyDescent="0.25">
      <c r="A84" s="74" t="s">
        <v>103</v>
      </c>
      <c r="B84" s="74" t="s">
        <v>108</v>
      </c>
      <c r="C84" s="74" t="s">
        <v>109</v>
      </c>
      <c r="D84" s="74" t="s">
        <v>174</v>
      </c>
      <c r="E84" s="74" t="s">
        <v>224</v>
      </c>
      <c r="F84" s="74" t="s">
        <v>174</v>
      </c>
      <c r="G84" s="74" t="s">
        <v>113</v>
      </c>
      <c r="H84" s="74"/>
      <c r="I84" s="74"/>
      <c r="K84" s="154"/>
      <c r="L84" s="155"/>
      <c r="M84" s="74"/>
      <c r="N84" s="74"/>
      <c r="O84" s="74"/>
      <c r="P84" s="154"/>
      <c r="Q84" s="155"/>
      <c r="R84" s="74"/>
      <c r="S84" s="74"/>
      <c r="T84" s="74"/>
      <c r="U84" s="74"/>
      <c r="V84" s="74"/>
      <c r="W84" s="74"/>
      <c r="X84" s="75" t="s">
        <v>57</v>
      </c>
      <c r="Y84" s="156" t="s">
        <v>238</v>
      </c>
      <c r="Z84" s="157"/>
      <c r="AA84" s="78" t="s">
        <v>236</v>
      </c>
      <c r="AB84" s="156" t="s">
        <v>105</v>
      </c>
      <c r="AC84" s="158"/>
      <c r="AD84" s="157"/>
      <c r="AE84" s="78" t="s">
        <v>105</v>
      </c>
      <c r="AF84" s="78" t="s">
        <v>236</v>
      </c>
      <c r="AG84" s="156" t="s">
        <v>237</v>
      </c>
      <c r="AH84" s="158"/>
      <c r="AI84" s="157"/>
      <c r="AJ84" s="78" t="s">
        <v>105</v>
      </c>
      <c r="AK84" s="78" t="s">
        <v>237</v>
      </c>
      <c r="AL84" s="78" t="s">
        <v>105</v>
      </c>
      <c r="AM84" s="74" t="s">
        <v>105</v>
      </c>
      <c r="AN84" s="154" t="s">
        <v>105</v>
      </c>
      <c r="AO84" s="155"/>
      <c r="AQ84" s="74" t="s">
        <v>105</v>
      </c>
      <c r="AR84" s="74" t="s">
        <v>237</v>
      </c>
      <c r="AS84" s="74" t="s">
        <v>204</v>
      </c>
    </row>
  </sheetData>
  <mergeCells count="424">
    <mergeCell ref="AJ3:AN4"/>
    <mergeCell ref="A4:I9"/>
    <mergeCell ref="AD6:AH7"/>
    <mergeCell ref="AJ6:AN7"/>
    <mergeCell ref="AD9:AH10"/>
    <mergeCell ref="AJ9:AN10"/>
    <mergeCell ref="P15:Q15"/>
    <mergeCell ref="Y15:Z15"/>
    <mergeCell ref="AB15:AD15"/>
    <mergeCell ref="AG15:AI15"/>
    <mergeCell ref="L3:AB6"/>
    <mergeCell ref="AD3:AH4"/>
    <mergeCell ref="AN15:AO15"/>
    <mergeCell ref="A16:E16"/>
    <mergeCell ref="F16:L16"/>
    <mergeCell ref="P16:Q16"/>
    <mergeCell ref="Y16:Z16"/>
    <mergeCell ref="AB16:AD16"/>
    <mergeCell ref="AG16:AI16"/>
    <mergeCell ref="AN16:AO16"/>
    <mergeCell ref="A15:E15"/>
    <mergeCell ref="F15:L15"/>
    <mergeCell ref="A17:E17"/>
    <mergeCell ref="F17:AO17"/>
    <mergeCell ref="A18:E18"/>
    <mergeCell ref="F18:Z18"/>
    <mergeCell ref="AB18:AE18"/>
    <mergeCell ref="AF18:AI18"/>
    <mergeCell ref="AN18:AO18"/>
    <mergeCell ref="A19:E19"/>
    <mergeCell ref="F19:Z19"/>
    <mergeCell ref="AB19:AE19"/>
    <mergeCell ref="AF19:AI19"/>
    <mergeCell ref="AN19:AO19"/>
    <mergeCell ref="K20:L20"/>
    <mergeCell ref="P20:Q20"/>
    <mergeCell ref="Y20:Z20"/>
    <mergeCell ref="AB20:AD20"/>
    <mergeCell ref="AG20:AI20"/>
    <mergeCell ref="AN20:AO20"/>
    <mergeCell ref="K21:L21"/>
    <mergeCell ref="P21:Q21"/>
    <mergeCell ref="Y21:Z21"/>
    <mergeCell ref="AB21:AD21"/>
    <mergeCell ref="AG21:AI21"/>
    <mergeCell ref="AN21:AO21"/>
    <mergeCell ref="K22:L22"/>
    <mergeCell ref="P22:Q22"/>
    <mergeCell ref="Y22:Z22"/>
    <mergeCell ref="AB22:AD22"/>
    <mergeCell ref="AG22:AI22"/>
    <mergeCell ref="AN22:AO22"/>
    <mergeCell ref="K23:L23"/>
    <mergeCell ref="P23:Q23"/>
    <mergeCell ref="Y23:Z23"/>
    <mergeCell ref="AB23:AD23"/>
    <mergeCell ref="AG23:AI23"/>
    <mergeCell ref="AN23:AO23"/>
    <mergeCell ref="K24:L24"/>
    <mergeCell ref="P24:Q24"/>
    <mergeCell ref="Y24:Z24"/>
    <mergeCell ref="AB24:AD24"/>
    <mergeCell ref="AG24:AI24"/>
    <mergeCell ref="AN24:AO24"/>
    <mergeCell ref="K25:L25"/>
    <mergeCell ref="P25:Q25"/>
    <mergeCell ref="Y25:Z25"/>
    <mergeCell ref="AB25:AD25"/>
    <mergeCell ref="AG25:AI25"/>
    <mergeCell ref="AN25:AO25"/>
    <mergeCell ref="K26:L26"/>
    <mergeCell ref="P26:Q26"/>
    <mergeCell ref="Y26:Z26"/>
    <mergeCell ref="AB26:AD26"/>
    <mergeCell ref="AG26:AI26"/>
    <mergeCell ref="AN26:AO26"/>
    <mergeCell ref="K27:L27"/>
    <mergeCell ref="P27:Q27"/>
    <mergeCell ref="Y27:Z27"/>
    <mergeCell ref="AB27:AD27"/>
    <mergeCell ref="AG27:AI27"/>
    <mergeCell ref="AN27:AO27"/>
    <mergeCell ref="K28:L28"/>
    <mergeCell ref="P28:Q28"/>
    <mergeCell ref="Y28:Z28"/>
    <mergeCell ref="AB28:AD28"/>
    <mergeCell ref="AG28:AI28"/>
    <mergeCell ref="AN28:AO28"/>
    <mergeCell ref="K29:L29"/>
    <mergeCell ref="P29:Q29"/>
    <mergeCell ref="Y29:Z29"/>
    <mergeCell ref="AB29:AD29"/>
    <mergeCell ref="AG29:AI29"/>
    <mergeCell ref="AN29:AO29"/>
    <mergeCell ref="K30:L30"/>
    <mergeCell ref="P30:Q30"/>
    <mergeCell ref="Y30:Z30"/>
    <mergeCell ref="AB30:AD30"/>
    <mergeCell ref="AG30:AI30"/>
    <mergeCell ref="AN30:AO30"/>
    <mergeCell ref="K31:L31"/>
    <mergeCell ref="P31:Q31"/>
    <mergeCell ref="Y31:Z31"/>
    <mergeCell ref="AB31:AD31"/>
    <mergeCell ref="AG31:AI31"/>
    <mergeCell ref="AN31:AO31"/>
    <mergeCell ref="K32:L32"/>
    <mergeCell ref="P32:Q32"/>
    <mergeCell ref="Y32:Z32"/>
    <mergeCell ref="AB32:AD32"/>
    <mergeCell ref="AG32:AI32"/>
    <mergeCell ref="AN32:AO32"/>
    <mergeCell ref="K33:L33"/>
    <mergeCell ref="P33:Q33"/>
    <mergeCell ref="Y33:Z33"/>
    <mergeCell ref="AB33:AD33"/>
    <mergeCell ref="AG33:AI33"/>
    <mergeCell ref="AN33:AO33"/>
    <mergeCell ref="K34:L34"/>
    <mergeCell ref="P34:Q34"/>
    <mergeCell ref="Y34:Z34"/>
    <mergeCell ref="AB34:AD34"/>
    <mergeCell ref="AG34:AI34"/>
    <mergeCell ref="AN34:AO34"/>
    <mergeCell ref="K35:L35"/>
    <mergeCell ref="P35:Q35"/>
    <mergeCell ref="Y35:Z35"/>
    <mergeCell ref="AB35:AD35"/>
    <mergeCell ref="AG35:AI35"/>
    <mergeCell ref="AN35:AO35"/>
    <mergeCell ref="K36:L36"/>
    <mergeCell ref="P36:Q36"/>
    <mergeCell ref="Y36:Z36"/>
    <mergeCell ref="AB36:AD36"/>
    <mergeCell ref="AG36:AI36"/>
    <mergeCell ref="AN36:AO36"/>
    <mergeCell ref="K37:L37"/>
    <mergeCell ref="P37:Q37"/>
    <mergeCell ref="Y37:Z37"/>
    <mergeCell ref="AB37:AD37"/>
    <mergeCell ref="AG37:AI37"/>
    <mergeCell ref="AN37:AO37"/>
    <mergeCell ref="K38:L38"/>
    <mergeCell ref="P38:Q38"/>
    <mergeCell ref="Y38:Z38"/>
    <mergeCell ref="AB38:AD38"/>
    <mergeCell ref="AG38:AI38"/>
    <mergeCell ref="AN38:AO38"/>
    <mergeCell ref="K39:L39"/>
    <mergeCell ref="P39:Q39"/>
    <mergeCell ref="Y39:Z39"/>
    <mergeCell ref="AB39:AD39"/>
    <mergeCell ref="AG39:AI39"/>
    <mergeCell ref="AN39:AO39"/>
    <mergeCell ref="K40:L40"/>
    <mergeCell ref="P40:Q40"/>
    <mergeCell ref="Y40:Z40"/>
    <mergeCell ref="AB40:AD40"/>
    <mergeCell ref="AG40:AI40"/>
    <mergeCell ref="AN40:AO40"/>
    <mergeCell ref="K41:L41"/>
    <mergeCell ref="P41:Q41"/>
    <mergeCell ref="Y41:Z41"/>
    <mergeCell ref="AB41:AD41"/>
    <mergeCell ref="AG41:AI41"/>
    <mergeCell ref="AN41:AO41"/>
    <mergeCell ref="K42:L42"/>
    <mergeCell ref="P42:Q42"/>
    <mergeCell ref="Y42:Z42"/>
    <mergeCell ref="AB42:AD42"/>
    <mergeCell ref="AG42:AI42"/>
    <mergeCell ref="AN42:AO42"/>
    <mergeCell ref="K43:L43"/>
    <mergeCell ref="P43:Q43"/>
    <mergeCell ref="Y43:Z43"/>
    <mergeCell ref="AB43:AD43"/>
    <mergeCell ref="AG43:AI43"/>
    <mergeCell ref="AN43:AO43"/>
    <mergeCell ref="K44:L44"/>
    <mergeCell ref="P44:Q44"/>
    <mergeCell ref="Y44:Z44"/>
    <mergeCell ref="AB44:AD44"/>
    <mergeCell ref="AG44:AI44"/>
    <mergeCell ref="AN44:AO44"/>
    <mergeCell ref="K45:L45"/>
    <mergeCell ref="P45:Q45"/>
    <mergeCell ref="Y45:Z45"/>
    <mergeCell ref="AB45:AD45"/>
    <mergeCell ref="AG45:AI45"/>
    <mergeCell ref="AN45:AO45"/>
    <mergeCell ref="K46:L46"/>
    <mergeCell ref="P46:Q46"/>
    <mergeCell ref="Y46:Z46"/>
    <mergeCell ref="AB46:AD46"/>
    <mergeCell ref="AG46:AI46"/>
    <mergeCell ref="AN46:AO46"/>
    <mergeCell ref="K47:L47"/>
    <mergeCell ref="P47:Q47"/>
    <mergeCell ref="Y47:Z47"/>
    <mergeCell ref="AB47:AD47"/>
    <mergeCell ref="AG47:AI47"/>
    <mergeCell ref="AN47:AO47"/>
    <mergeCell ref="K48:L48"/>
    <mergeCell ref="P48:Q48"/>
    <mergeCell ref="Y48:Z48"/>
    <mergeCell ref="AB48:AD48"/>
    <mergeCell ref="AG48:AI48"/>
    <mergeCell ref="AN48:AO48"/>
    <mergeCell ref="K49:L49"/>
    <mergeCell ref="P49:Q49"/>
    <mergeCell ref="Y49:Z49"/>
    <mergeCell ref="AB49:AD49"/>
    <mergeCell ref="AG49:AI49"/>
    <mergeCell ref="AN49:AO49"/>
    <mergeCell ref="K50:L50"/>
    <mergeCell ref="P50:Q50"/>
    <mergeCell ref="Y50:Z50"/>
    <mergeCell ref="AB50:AD50"/>
    <mergeCell ref="AG50:AI50"/>
    <mergeCell ref="AN50:AO50"/>
    <mergeCell ref="K51:L51"/>
    <mergeCell ref="P51:Q51"/>
    <mergeCell ref="Y51:Z51"/>
    <mergeCell ref="AB51:AD51"/>
    <mergeCell ref="AG51:AI51"/>
    <mergeCell ref="AN51:AO51"/>
    <mergeCell ref="K52:L52"/>
    <mergeCell ref="P52:Q52"/>
    <mergeCell ref="Y52:Z52"/>
    <mergeCell ref="AB52:AD52"/>
    <mergeCell ref="AG52:AI52"/>
    <mergeCell ref="AN52:AO52"/>
    <mergeCell ref="K53:L53"/>
    <mergeCell ref="P53:Q53"/>
    <mergeCell ref="Y53:Z53"/>
    <mergeCell ref="AB53:AD53"/>
    <mergeCell ref="AG53:AI53"/>
    <mergeCell ref="AN53:AO53"/>
    <mergeCell ref="K54:L54"/>
    <mergeCell ref="P54:Q54"/>
    <mergeCell ref="Y54:Z54"/>
    <mergeCell ref="AB54:AD54"/>
    <mergeCell ref="AG54:AI54"/>
    <mergeCell ref="AN54:AO54"/>
    <mergeCell ref="K55:L55"/>
    <mergeCell ref="P55:Q55"/>
    <mergeCell ref="Y55:Z55"/>
    <mergeCell ref="AB55:AD55"/>
    <mergeCell ref="AG55:AI55"/>
    <mergeCell ref="AN55:AO55"/>
    <mergeCell ref="K56:L56"/>
    <mergeCell ref="P56:Q56"/>
    <mergeCell ref="Y56:Z56"/>
    <mergeCell ref="AB56:AD56"/>
    <mergeCell ref="AG56:AI56"/>
    <mergeCell ref="AN56:AO56"/>
    <mergeCell ref="K57:L57"/>
    <mergeCell ref="P57:Q57"/>
    <mergeCell ref="Y57:Z57"/>
    <mergeCell ref="AB57:AD57"/>
    <mergeCell ref="AG57:AI57"/>
    <mergeCell ref="AN57:AO57"/>
    <mergeCell ref="K58:L58"/>
    <mergeCell ref="P58:Q58"/>
    <mergeCell ref="Y58:Z58"/>
    <mergeCell ref="AB58:AD58"/>
    <mergeCell ref="AG58:AI58"/>
    <mergeCell ref="AN58:AO58"/>
    <mergeCell ref="K59:L59"/>
    <mergeCell ref="P59:Q59"/>
    <mergeCell ref="Y59:Z59"/>
    <mergeCell ref="AB59:AD59"/>
    <mergeCell ref="AG59:AI59"/>
    <mergeCell ref="AN59:AO59"/>
    <mergeCell ref="K60:L60"/>
    <mergeCell ref="P60:Q60"/>
    <mergeCell ref="Y60:Z60"/>
    <mergeCell ref="AB60:AD60"/>
    <mergeCell ref="AG60:AI60"/>
    <mergeCell ref="AN60:AO60"/>
    <mergeCell ref="K61:L61"/>
    <mergeCell ref="P61:Q61"/>
    <mergeCell ref="Y61:Z61"/>
    <mergeCell ref="AB61:AD61"/>
    <mergeCell ref="AG61:AI61"/>
    <mergeCell ref="AN61:AO61"/>
    <mergeCell ref="K62:L62"/>
    <mergeCell ref="P62:Q62"/>
    <mergeCell ref="Y62:Z62"/>
    <mergeCell ref="AB62:AD62"/>
    <mergeCell ref="AG62:AI62"/>
    <mergeCell ref="AN62:AO62"/>
    <mergeCell ref="K63:L63"/>
    <mergeCell ref="P63:Q63"/>
    <mergeCell ref="Y63:Z63"/>
    <mergeCell ref="AB63:AD63"/>
    <mergeCell ref="AG63:AI63"/>
    <mergeCell ref="AN63:AO63"/>
    <mergeCell ref="K64:L64"/>
    <mergeCell ref="P64:Q64"/>
    <mergeCell ref="Y64:Z64"/>
    <mergeCell ref="AB64:AD64"/>
    <mergeCell ref="AG64:AI64"/>
    <mergeCell ref="AN64:AO64"/>
    <mergeCell ref="K65:L65"/>
    <mergeCell ref="P65:Q65"/>
    <mergeCell ref="Y65:Z65"/>
    <mergeCell ref="AB65:AD65"/>
    <mergeCell ref="AG65:AI65"/>
    <mergeCell ref="AN65:AO65"/>
    <mergeCell ref="K66:L66"/>
    <mergeCell ref="P66:Q66"/>
    <mergeCell ref="Y66:Z66"/>
    <mergeCell ref="AB66:AD66"/>
    <mergeCell ref="AG66:AI66"/>
    <mergeCell ref="AN66:AO66"/>
    <mergeCell ref="K67:L67"/>
    <mergeCell ref="P67:Q67"/>
    <mergeCell ref="Y67:Z67"/>
    <mergeCell ref="AB67:AD67"/>
    <mergeCell ref="AG67:AI67"/>
    <mergeCell ref="AN67:AO67"/>
    <mergeCell ref="K68:L68"/>
    <mergeCell ref="P68:Q68"/>
    <mergeCell ref="Y68:Z68"/>
    <mergeCell ref="AB68:AD68"/>
    <mergeCell ref="AG68:AI68"/>
    <mergeCell ref="AN68:AO68"/>
    <mergeCell ref="K69:L69"/>
    <mergeCell ref="P69:Q69"/>
    <mergeCell ref="Y69:Z69"/>
    <mergeCell ref="AB69:AD69"/>
    <mergeCell ref="AG69:AI69"/>
    <mergeCell ref="AN69:AO69"/>
    <mergeCell ref="K70:L70"/>
    <mergeCell ref="P70:Q70"/>
    <mergeCell ref="Y70:Z70"/>
    <mergeCell ref="AB70:AD70"/>
    <mergeCell ref="AG70:AI70"/>
    <mergeCell ref="AN70:AO70"/>
    <mergeCell ref="K71:L71"/>
    <mergeCell ref="P71:Q71"/>
    <mergeCell ref="Y71:Z71"/>
    <mergeCell ref="AB71:AD71"/>
    <mergeCell ref="AG71:AI71"/>
    <mergeCell ref="AN71:AO71"/>
    <mergeCell ref="K72:L72"/>
    <mergeCell ref="P72:Q72"/>
    <mergeCell ref="Y72:Z72"/>
    <mergeCell ref="AB72:AD72"/>
    <mergeCell ref="AG72:AI72"/>
    <mergeCell ref="AN72:AO72"/>
    <mergeCell ref="K73:L73"/>
    <mergeCell ref="P73:Q73"/>
    <mergeCell ref="Y73:Z73"/>
    <mergeCell ref="AB73:AD73"/>
    <mergeCell ref="AG73:AI73"/>
    <mergeCell ref="AN73:AO73"/>
    <mergeCell ref="K74:L74"/>
    <mergeCell ref="P74:Q74"/>
    <mergeCell ref="Y74:Z74"/>
    <mergeCell ref="AB74:AD74"/>
    <mergeCell ref="AG74:AI74"/>
    <mergeCell ref="AN74:AO74"/>
    <mergeCell ref="K75:L75"/>
    <mergeCell ref="P75:Q75"/>
    <mergeCell ref="Y75:Z75"/>
    <mergeCell ref="AB75:AD75"/>
    <mergeCell ref="AG75:AI75"/>
    <mergeCell ref="AN75:AO75"/>
    <mergeCell ref="K76:L76"/>
    <mergeCell ref="P76:Q76"/>
    <mergeCell ref="Y76:Z76"/>
    <mergeCell ref="AB76:AD76"/>
    <mergeCell ref="AG76:AI76"/>
    <mergeCell ref="AN76:AO76"/>
    <mergeCell ref="K77:L77"/>
    <mergeCell ref="P77:Q77"/>
    <mergeCell ref="Y77:Z77"/>
    <mergeCell ref="AB77:AD77"/>
    <mergeCell ref="AG77:AI77"/>
    <mergeCell ref="AN77:AO77"/>
    <mergeCell ref="K78:L78"/>
    <mergeCell ref="P78:Q78"/>
    <mergeCell ref="Y78:Z78"/>
    <mergeCell ref="AB78:AD78"/>
    <mergeCell ref="AG78:AI78"/>
    <mergeCell ref="AN78:AO78"/>
    <mergeCell ref="K79:L79"/>
    <mergeCell ref="P79:Q79"/>
    <mergeCell ref="Y79:Z79"/>
    <mergeCell ref="AB79:AD79"/>
    <mergeCell ref="AG79:AI79"/>
    <mergeCell ref="AN79:AO79"/>
    <mergeCell ref="K80:L80"/>
    <mergeCell ref="P80:Q80"/>
    <mergeCell ref="Y80:Z80"/>
    <mergeCell ref="AB80:AD80"/>
    <mergeCell ref="AG80:AI80"/>
    <mergeCell ref="AN80:AO80"/>
    <mergeCell ref="K81:L81"/>
    <mergeCell ref="P81:Q81"/>
    <mergeCell ref="Y81:Z81"/>
    <mergeCell ref="AB81:AD81"/>
    <mergeCell ref="AG81:AI81"/>
    <mergeCell ref="AN81:AO81"/>
    <mergeCell ref="K84:L84"/>
    <mergeCell ref="P84:Q84"/>
    <mergeCell ref="Y84:Z84"/>
    <mergeCell ref="AB84:AD84"/>
    <mergeCell ref="AG84:AI84"/>
    <mergeCell ref="AN84:AO84"/>
    <mergeCell ref="K82:L82"/>
    <mergeCell ref="P82:Q82"/>
    <mergeCell ref="Y82:Z82"/>
    <mergeCell ref="AB82:AD82"/>
    <mergeCell ref="AG82:AI82"/>
    <mergeCell ref="AN82:AO82"/>
    <mergeCell ref="K83:L83"/>
    <mergeCell ref="P83:Q83"/>
    <mergeCell ref="Y83:Z83"/>
    <mergeCell ref="AB83:AD83"/>
    <mergeCell ref="AG83:AI83"/>
    <mergeCell ref="AN83:AO83"/>
  </mergeCells>
  <pageMargins left="0.59055118110236204" right="0.35433070866141703" top="0.39370078740157499" bottom="0.98425196850393704" header="0.39370078740157499" footer="0.39370078740157499"/>
  <pageSetup orientation="landscape" horizontalDpi="300" verticalDpi="300" r:id="rId1"/>
  <headerFooter alignWithMargins="0">
    <oddFooter>&amp;C&amp;"Arial,Regular"&amp;8&amp;P 
&amp;"-,Regular"de 
&amp;"-,Regular"&amp;N 
&amp;"-,Regular"Página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20"/>
  <sheetViews>
    <sheetView showGridLines="0" topLeftCell="F3" zoomScale="80" zoomScaleNormal="80" workbookViewId="0">
      <selection activeCell="K18" sqref="K18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10" width="20.42578125" style="2" bestFit="1" customWidth="1"/>
    <col min="11" max="11" width="20.42578125" style="2" customWidth="1"/>
    <col min="12" max="12" width="22.42578125" style="2" hidden="1" customWidth="1"/>
    <col min="13" max="13" width="24.28515625" style="1" bestFit="1" customWidth="1"/>
    <col min="14" max="14" width="23.28515625" style="1" bestFit="1" customWidth="1"/>
    <col min="15" max="15" width="18.42578125" style="7" bestFit="1" customWidth="1"/>
    <col min="16" max="16" width="17.140625" style="2" bestFit="1" customWidth="1"/>
    <col min="17" max="16384" width="11.42578125" style="2"/>
  </cols>
  <sheetData>
    <row r="2" spans="2:16" ht="15.75" x14ac:dyDescent="0.2"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2:16" ht="15.75" x14ac:dyDescent="0.2">
      <c r="B3" s="129" t="s">
        <v>1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2:16" ht="16.5" thickBot="1" x14ac:dyDescent="0.25">
      <c r="B4" s="129" t="s">
        <v>31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2:16" s="14" customFormat="1" ht="16.5" thickBot="1" x14ac:dyDescent="0.25">
      <c r="B5" s="130" t="s">
        <v>2</v>
      </c>
      <c r="C5" s="132" t="s">
        <v>3</v>
      </c>
      <c r="D5" s="134" t="s">
        <v>4</v>
      </c>
      <c r="E5" s="135"/>
      <c r="F5" s="136"/>
      <c r="G5" s="137" t="s">
        <v>5</v>
      </c>
      <c r="H5" s="139"/>
      <c r="I5" s="139"/>
      <c r="J5" s="139"/>
      <c r="K5" s="139"/>
      <c r="L5" s="139"/>
      <c r="M5" s="139"/>
      <c r="N5" s="140"/>
      <c r="O5" s="13"/>
    </row>
    <row r="6" spans="2:16" s="14" customFormat="1" ht="48" thickBot="1" x14ac:dyDescent="0.25">
      <c r="B6" s="131"/>
      <c r="C6" s="133"/>
      <c r="D6" s="27" t="s">
        <v>6</v>
      </c>
      <c r="E6" s="26" t="s">
        <v>7</v>
      </c>
      <c r="F6" s="28" t="s">
        <v>8</v>
      </c>
      <c r="G6" s="29" t="s">
        <v>9</v>
      </c>
      <c r="H6" s="31" t="s">
        <v>10</v>
      </c>
      <c r="I6" s="32" t="s">
        <v>28</v>
      </c>
      <c r="J6" s="31" t="s">
        <v>29</v>
      </c>
      <c r="K6" s="30" t="s">
        <v>30</v>
      </c>
      <c r="L6" s="33" t="s">
        <v>30</v>
      </c>
      <c r="M6" s="35" t="s">
        <v>11</v>
      </c>
      <c r="N6" s="34" t="s">
        <v>12</v>
      </c>
      <c r="O6" s="13"/>
    </row>
    <row r="7" spans="2:16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21">
        <v>38374299298.110001</v>
      </c>
      <c r="H7" s="21">
        <v>43093227756.860001</v>
      </c>
      <c r="I7" s="21">
        <v>66646409194</v>
      </c>
      <c r="J7" s="21">
        <v>57820008570.170029</v>
      </c>
      <c r="K7" s="21">
        <f>+L7-G7-H7-I7-J7</f>
        <v>50784611730.889969</v>
      </c>
      <c r="L7" s="21">
        <v>256718556550.03</v>
      </c>
      <c r="M7" s="21">
        <f>SUM(G7:L7)</f>
        <v>513437113100.05994</v>
      </c>
      <c r="N7" s="25">
        <f>+F7-M7</f>
        <v>6871886899.9400635</v>
      </c>
      <c r="O7" s="7"/>
      <c r="P7" s="3"/>
    </row>
    <row r="8" spans="2:16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11">
        <v>38374299298.110001</v>
      </c>
      <c r="H8" s="11">
        <v>43093227756.860001</v>
      </c>
      <c r="I8" s="11">
        <v>66646409194.01001</v>
      </c>
      <c r="J8" s="11">
        <v>57820008570.160019</v>
      </c>
      <c r="K8" s="11">
        <f t="shared" ref="K8:K15" si="0">+L8-G8-H8-I8-J8</f>
        <v>50784611730.889969</v>
      </c>
      <c r="L8" s="11">
        <v>256718556550.03</v>
      </c>
      <c r="M8" s="11">
        <f t="shared" ref="M8:M15" si="1">SUM(G8:L8)</f>
        <v>513437113100.05994</v>
      </c>
      <c r="N8" s="12">
        <f t="shared" ref="N8:N15" si="2">+F8-M8</f>
        <v>6871886899.9400635</v>
      </c>
      <c r="O8" s="7"/>
      <c r="P8" s="3"/>
    </row>
    <row r="9" spans="2:16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11">
        <v>38374299298.110001</v>
      </c>
      <c r="H9" s="11">
        <v>43093227756.860001</v>
      </c>
      <c r="I9" s="11">
        <v>66646409194.01001</v>
      </c>
      <c r="J9" s="11">
        <v>57820008570.160019</v>
      </c>
      <c r="K9" s="11">
        <f t="shared" si="0"/>
        <v>50784611730.889969</v>
      </c>
      <c r="L9" s="11">
        <v>256718556550.03</v>
      </c>
      <c r="M9" s="11">
        <f t="shared" si="1"/>
        <v>513437113100.05994</v>
      </c>
      <c r="N9" s="12">
        <f t="shared" si="2"/>
        <v>6871886899.9400635</v>
      </c>
      <c r="O9" s="7"/>
      <c r="P9" s="3"/>
    </row>
    <row r="10" spans="2:16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11">
        <v>36744835615</v>
      </c>
      <c r="H10" s="11">
        <v>41160711067.960007</v>
      </c>
      <c r="I10" s="11">
        <v>65394744393.069992</v>
      </c>
      <c r="J10" s="11">
        <v>56251742990.559998</v>
      </c>
      <c r="K10" s="11">
        <f t="shared" si="0"/>
        <v>49578972196.719986</v>
      </c>
      <c r="L10" s="11">
        <v>249131006263.31</v>
      </c>
      <c r="M10" s="11">
        <f t="shared" si="1"/>
        <v>498262012526.62</v>
      </c>
      <c r="N10" s="12">
        <f t="shared" si="2"/>
        <v>14217115900.849976</v>
      </c>
      <c r="O10" s="7"/>
      <c r="P10" s="3"/>
    </row>
    <row r="11" spans="2:16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11">
        <v>36744835615</v>
      </c>
      <c r="H11" s="11">
        <v>41160711067.960007</v>
      </c>
      <c r="I11" s="11">
        <v>65394744393.069992</v>
      </c>
      <c r="J11" s="11">
        <v>56251742990.559998</v>
      </c>
      <c r="K11" s="11">
        <f t="shared" si="0"/>
        <v>49578972196.719986</v>
      </c>
      <c r="L11" s="11">
        <v>249131006263.31</v>
      </c>
      <c r="M11" s="11">
        <f t="shared" si="1"/>
        <v>498262012526.62</v>
      </c>
      <c r="N11" s="12">
        <f t="shared" si="2"/>
        <v>14217115900.849976</v>
      </c>
      <c r="O11" s="7"/>
      <c r="P11" s="3"/>
    </row>
    <row r="12" spans="2:16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11">
        <v>1629463683.1099999</v>
      </c>
      <c r="H12" s="11">
        <v>1932516688.9000003</v>
      </c>
      <c r="I12" s="11">
        <v>1251664800.9299991</v>
      </c>
      <c r="J12" s="11">
        <v>1568265579.6100008</v>
      </c>
      <c r="K12" s="11">
        <f t="shared" si="0"/>
        <v>1205639534.1699998</v>
      </c>
      <c r="L12" s="11">
        <v>7587550286.7200003</v>
      </c>
      <c r="M12" s="11">
        <f t="shared" si="1"/>
        <v>15175100573.440001</v>
      </c>
      <c r="N12" s="37">
        <f>+F12-M12</f>
        <v>-7345229000.9099998</v>
      </c>
      <c r="O12" s="7"/>
      <c r="P12" s="3"/>
    </row>
    <row r="13" spans="2:16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11">
        <v>8434697.6199999992</v>
      </c>
      <c r="H13" s="11">
        <v>149260922.88999999</v>
      </c>
      <c r="I13" s="11">
        <v>78398824.469999999</v>
      </c>
      <c r="J13" s="11">
        <v>133128726.60999998</v>
      </c>
      <c r="K13" s="11">
        <f t="shared" si="0"/>
        <v>103207489.17000002</v>
      </c>
      <c r="L13" s="11">
        <v>472430660.75999999</v>
      </c>
      <c r="M13" s="11">
        <f t="shared" si="1"/>
        <v>944861321.51999998</v>
      </c>
      <c r="N13" s="37">
        <f t="shared" si="2"/>
        <v>-281698533.93000007</v>
      </c>
      <c r="O13" s="7"/>
      <c r="P13" s="3"/>
    </row>
    <row r="14" spans="2:16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11">
        <v>1590913126.49</v>
      </c>
      <c r="H14" s="11">
        <v>1649441147.6299999</v>
      </c>
      <c r="I14" s="11">
        <v>1160730797.9999998</v>
      </c>
      <c r="J14" s="11">
        <v>1420749748.0000002</v>
      </c>
      <c r="K14" s="11">
        <f t="shared" si="0"/>
        <v>1092787203.9999998</v>
      </c>
      <c r="L14" s="11">
        <v>6914622024.1199999</v>
      </c>
      <c r="M14" s="11">
        <f t="shared" si="1"/>
        <v>13829244048.24</v>
      </c>
      <c r="N14" s="37">
        <f t="shared" si="2"/>
        <v>-7123256841.1399994</v>
      </c>
      <c r="O14" s="7"/>
      <c r="P14" s="3"/>
    </row>
    <row r="15" spans="2:16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18">
        <v>30115859</v>
      </c>
      <c r="H15" s="18">
        <v>133814618.38</v>
      </c>
      <c r="I15" s="18">
        <v>12535178.460000008</v>
      </c>
      <c r="J15" s="18">
        <v>14387105</v>
      </c>
      <c r="K15" s="18">
        <f t="shared" si="0"/>
        <v>9644841</v>
      </c>
      <c r="L15" s="18">
        <v>200497601.84</v>
      </c>
      <c r="M15" s="18">
        <f t="shared" si="1"/>
        <v>400995203.68000001</v>
      </c>
      <c r="N15" s="19">
        <f t="shared" si="2"/>
        <v>59726374.160000026</v>
      </c>
      <c r="P15" s="3"/>
    </row>
    <row r="16" spans="2:16" s="72" customFormat="1" ht="15" customHeight="1" x14ac:dyDescent="0.2"/>
    <row r="17" spans="8:11" s="72" customFormat="1" ht="14.25" customHeight="1" x14ac:dyDescent="0.2">
      <c r="K17" s="72" t="s">
        <v>35</v>
      </c>
    </row>
    <row r="18" spans="8:11" x14ac:dyDescent="0.2">
      <c r="H18" s="125"/>
      <c r="I18" s="127"/>
      <c r="J18" s="128"/>
      <c r="K18" s="36"/>
    </row>
    <row r="19" spans="8:11" x14ac:dyDescent="0.2">
      <c r="J19" s="20"/>
    </row>
    <row r="20" spans="8:11" x14ac:dyDescent="0.2">
      <c r="I20" s="20"/>
    </row>
  </sheetData>
  <mergeCells count="8">
    <mergeCell ref="H18:J18"/>
    <mergeCell ref="B4:N4"/>
    <mergeCell ref="B3:N3"/>
    <mergeCell ref="B2:N2"/>
    <mergeCell ref="B5:B6"/>
    <mergeCell ref="C5:C6"/>
    <mergeCell ref="D5:F5"/>
    <mergeCell ref="G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VALIDACION</vt:lpstr>
      <vt:lpstr>2022</vt:lpstr>
      <vt:lpstr>REP_ING032_InformeGestionIngres</vt:lpstr>
      <vt:lpstr>INGRESOS 2020 ANT</vt:lpstr>
      <vt:lpstr>REP_ING032_InformeGestionIngres!Títulos_a_imprimir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Rocio Montana Vera</dc:creator>
  <cp:lastModifiedBy>Alonzo Rojas Sanchez</cp:lastModifiedBy>
  <cp:lastPrinted>2021-06-03T21:18:33Z</cp:lastPrinted>
  <dcterms:created xsi:type="dcterms:W3CDTF">2020-03-24T12:31:45Z</dcterms:created>
  <dcterms:modified xsi:type="dcterms:W3CDTF">2023-01-26T19:57:57Z</dcterms:modified>
</cp:coreProperties>
</file>