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-120" windowWidth="23130" windowHeight="13170"/>
  </bookViews>
  <sheets>
    <sheet name="Hoja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" i="3" l="1"/>
  <c r="U2" i="3"/>
  <c r="V48" i="3" l="1"/>
  <c r="V47" i="3"/>
  <c r="V46" i="3"/>
  <c r="V45" i="3"/>
  <c r="V44" i="3"/>
  <c r="V43" i="3"/>
  <c r="V42" i="3"/>
  <c r="V41" i="3"/>
  <c r="V40" i="3"/>
  <c r="V39" i="3"/>
  <c r="V32" i="3"/>
  <c r="V31" i="3"/>
  <c r="V30" i="3"/>
  <c r="V27" i="3"/>
  <c r="V23" i="3"/>
  <c r="V22" i="3"/>
  <c r="V21" i="3"/>
  <c r="V19" i="3"/>
  <c r="V18" i="3"/>
  <c r="V17" i="3"/>
  <c r="V16" i="3"/>
  <c r="V14" i="3"/>
  <c r="V12" i="3"/>
  <c r="V11" i="3"/>
  <c r="V10" i="3"/>
  <c r="V9" i="3"/>
  <c r="V8" i="3"/>
  <c r="V7" i="3"/>
  <c r="V6" i="3"/>
  <c r="V5" i="3"/>
  <c r="V4" i="3"/>
  <c r="V2" i="3"/>
  <c r="S3" i="3"/>
  <c r="U3" i="3" s="1"/>
  <c r="AD3" i="3" s="1"/>
  <c r="S4" i="3"/>
  <c r="U4" i="3" s="1"/>
  <c r="AD4" i="3" s="1"/>
  <c r="S5" i="3"/>
  <c r="U5" i="3" s="1"/>
  <c r="AD5" i="3" s="1"/>
  <c r="S6" i="3"/>
  <c r="U6" i="3" s="1"/>
  <c r="AD6" i="3" s="1"/>
  <c r="S7" i="3"/>
  <c r="U7" i="3" s="1"/>
  <c r="AD7" i="3" s="1"/>
  <c r="S8" i="3"/>
  <c r="U8" i="3" s="1"/>
  <c r="AD8" i="3" s="1"/>
  <c r="S9" i="3"/>
  <c r="U9" i="3" s="1"/>
  <c r="AD9" i="3" s="1"/>
  <c r="S10" i="3"/>
  <c r="U10" i="3" s="1"/>
  <c r="AD10" i="3" s="1"/>
  <c r="S11" i="3"/>
  <c r="U11" i="3" s="1"/>
  <c r="AD11" i="3" s="1"/>
  <c r="S12" i="3"/>
  <c r="U12" i="3" s="1"/>
  <c r="AD12" i="3" s="1"/>
  <c r="S13" i="3"/>
  <c r="U13" i="3" s="1"/>
  <c r="AD13" i="3" s="1"/>
  <c r="S14" i="3"/>
  <c r="U14" i="3" s="1"/>
  <c r="AD14" i="3" s="1"/>
  <c r="S15" i="3"/>
  <c r="U15" i="3" s="1"/>
  <c r="AD15" i="3" s="1"/>
  <c r="S16" i="3"/>
  <c r="U16" i="3" s="1"/>
  <c r="AD16" i="3" s="1"/>
  <c r="S17" i="3"/>
  <c r="U17" i="3" s="1"/>
  <c r="AD17" i="3" s="1"/>
  <c r="S18" i="3"/>
  <c r="U18" i="3" s="1"/>
  <c r="AD18" i="3" s="1"/>
  <c r="S19" i="3"/>
  <c r="U19" i="3" s="1"/>
  <c r="AD19" i="3" s="1"/>
  <c r="S20" i="3"/>
  <c r="U20" i="3" s="1"/>
  <c r="AD20" i="3" s="1"/>
  <c r="S21" i="3"/>
  <c r="U21" i="3" s="1"/>
  <c r="AD21" i="3" s="1"/>
  <c r="S22" i="3"/>
  <c r="U22" i="3" s="1"/>
  <c r="AD22" i="3" s="1"/>
  <c r="S23" i="3"/>
  <c r="U23" i="3" s="1"/>
  <c r="AD23" i="3" s="1"/>
  <c r="S24" i="3"/>
  <c r="U24" i="3" s="1"/>
  <c r="AD24" i="3" s="1"/>
  <c r="S25" i="3"/>
  <c r="U25" i="3" s="1"/>
  <c r="AD25" i="3" s="1"/>
  <c r="S26" i="3"/>
  <c r="U26" i="3" s="1"/>
  <c r="AD26" i="3" s="1"/>
  <c r="S27" i="3"/>
  <c r="U27" i="3" s="1"/>
  <c r="AD27" i="3" s="1"/>
  <c r="S28" i="3"/>
  <c r="U28" i="3" s="1"/>
  <c r="AD28" i="3" s="1"/>
  <c r="S29" i="3"/>
  <c r="U29" i="3" s="1"/>
  <c r="AD29" i="3" s="1"/>
  <c r="S30" i="3"/>
  <c r="U30" i="3" s="1"/>
  <c r="AD30" i="3" s="1"/>
  <c r="S31" i="3"/>
  <c r="U31" i="3" s="1"/>
  <c r="AD31" i="3" s="1"/>
  <c r="S32" i="3"/>
  <c r="U32" i="3" s="1"/>
  <c r="AD32" i="3" s="1"/>
  <c r="S33" i="3"/>
  <c r="U33" i="3" s="1"/>
  <c r="AD33" i="3" s="1"/>
  <c r="S34" i="3"/>
  <c r="U34" i="3" s="1"/>
  <c r="AD34" i="3" s="1"/>
  <c r="S35" i="3"/>
  <c r="U35" i="3" s="1"/>
  <c r="AD35" i="3" s="1"/>
  <c r="S36" i="3"/>
  <c r="U36" i="3" s="1"/>
  <c r="AD36" i="3" s="1"/>
  <c r="S37" i="3"/>
  <c r="U37" i="3" s="1"/>
  <c r="AD37" i="3" s="1"/>
  <c r="S38" i="3"/>
  <c r="U38" i="3" s="1"/>
  <c r="AD38" i="3" s="1"/>
  <c r="S39" i="3"/>
  <c r="U39" i="3" s="1"/>
  <c r="AD39" i="3" s="1"/>
  <c r="S40" i="3"/>
  <c r="U40" i="3" s="1"/>
  <c r="AD40" i="3" s="1"/>
  <c r="S41" i="3"/>
  <c r="U41" i="3" s="1"/>
  <c r="AD41" i="3" s="1"/>
  <c r="S42" i="3"/>
  <c r="U42" i="3" s="1"/>
  <c r="AD42" i="3" s="1"/>
  <c r="S43" i="3"/>
  <c r="U43" i="3" s="1"/>
  <c r="AD43" i="3" s="1"/>
  <c r="S44" i="3"/>
  <c r="U44" i="3" s="1"/>
  <c r="AD44" i="3" s="1"/>
  <c r="S45" i="3"/>
  <c r="U45" i="3" s="1"/>
  <c r="AD45" i="3" s="1"/>
  <c r="S46" i="3"/>
  <c r="U46" i="3" s="1"/>
  <c r="AD46" i="3" s="1"/>
  <c r="S47" i="3"/>
  <c r="U47" i="3" s="1"/>
  <c r="AD47" i="3" s="1"/>
  <c r="S48" i="3"/>
  <c r="U48" i="3" s="1"/>
  <c r="AD48" i="3" s="1"/>
  <c r="S49" i="3"/>
  <c r="U49" i="3" s="1"/>
  <c r="AD49" i="3" s="1"/>
  <c r="S2" i="3"/>
  <c r="W2" i="3" s="1"/>
  <c r="W47" i="3" l="1"/>
  <c r="W43" i="3"/>
  <c r="W39" i="3"/>
  <c r="W35" i="3"/>
  <c r="W31" i="3"/>
  <c r="W27" i="3"/>
  <c r="W23" i="3"/>
  <c r="W19" i="3"/>
  <c r="W15" i="3"/>
  <c r="W11" i="3"/>
  <c r="W7" i="3"/>
  <c r="W46" i="3"/>
  <c r="W42" i="3"/>
  <c r="W38" i="3"/>
  <c r="W34" i="3"/>
  <c r="W30" i="3"/>
  <c r="W26" i="3"/>
  <c r="W22" i="3"/>
  <c r="W18" i="3"/>
  <c r="W14" i="3"/>
  <c r="W10" i="3"/>
  <c r="W6" i="3"/>
  <c r="W49" i="3"/>
  <c r="W45" i="3"/>
  <c r="W41" i="3"/>
  <c r="W37" i="3"/>
  <c r="W33" i="3"/>
  <c r="W29" i="3"/>
  <c r="W25" i="3"/>
  <c r="W21" i="3"/>
  <c r="W17" i="3"/>
  <c r="W13" i="3"/>
  <c r="W9" i="3"/>
  <c r="W5" i="3"/>
  <c r="W48" i="3"/>
  <c r="W44" i="3"/>
  <c r="W40" i="3"/>
  <c r="W36" i="3"/>
  <c r="W32" i="3"/>
  <c r="W28" i="3"/>
  <c r="W24" i="3"/>
  <c r="W20" i="3"/>
  <c r="W16" i="3"/>
  <c r="W12" i="3"/>
  <c r="W8" i="3"/>
  <c r="W4" i="3"/>
</calcChain>
</file>

<file path=xl/sharedStrings.xml><?xml version="1.0" encoding="utf-8"?>
<sst xmlns="http://schemas.openxmlformats.org/spreadsheetml/2006/main" count="576" uniqueCount="208">
  <si>
    <t>DEPENDENCIA</t>
  </si>
  <si>
    <t>MODALIDAD DE SELECCIÓN</t>
  </si>
  <si>
    <t>FECHA SUSCRIPCIÓN CONTRATO</t>
  </si>
  <si>
    <t>RP</t>
  </si>
  <si>
    <t xml:space="preserve">VALOR PAGADO </t>
  </si>
  <si>
    <t>SELECCIÓN ABREVIADA</t>
  </si>
  <si>
    <t>SUMINISTRO</t>
  </si>
  <si>
    <t>SUMINISTRO DE FRUTAS Y VERDURAS PARA LA AGENCIA LOGÍSTICA DE LAS FUERZAS MILITARES; REGIONAL AMAZONÍA</t>
  </si>
  <si>
    <t>HECTOR EDUARDO OSPINA SANCHEZ</t>
  </si>
  <si>
    <t>96342764-5</t>
  </si>
  <si>
    <t xml:space="preserve">ANA ISABEL PÉREZ ARIAS </t>
  </si>
  <si>
    <t>901249274-1</t>
  </si>
  <si>
    <t>WILLIAM ANDRES CORREA VELEZ</t>
  </si>
  <si>
    <t>SUMINISTRO DE PRODUCTOS DE PANADERIA PARA LA AGENCIA LOGÍSTICA DE LAS FUERZAS MILITARES, REGIONAL AMAZONÍA</t>
  </si>
  <si>
    <t>MAXIDISTRIBUCIONES DE COLOMBIA S.A.S. BIC</t>
  </si>
  <si>
    <t>900622492-4</t>
  </si>
  <si>
    <t>SUMINISTRO DE PRODUCTOS LACTEOS PARA LA AGENCIA LOGÍSTICA DE LAS FUERZAS MILITARES; REGIONAL AMAZONÍA</t>
  </si>
  <si>
    <t>DIEGO FABIAN PUENTES</t>
  </si>
  <si>
    <t>YESICA LORENA OLMOS ENCISO</t>
  </si>
  <si>
    <t>SUMINISTRO DE HELADOS PARA LA AGENCIA LOGÍSTICA DE LAS FUERZAS MILITARES, REGIONAL AMAZONÍA</t>
  </si>
  <si>
    <t>17690969-2</t>
  </si>
  <si>
    <t>SUMINISTRO DE PULPA DE FRUTA PARA LA AGENCIA LOGÍSTICA DE LAS FUERZAS MILITARES, REGIONAL AMAZONÍA</t>
  </si>
  <si>
    <t>PRESTACION DE SERVICIOS</t>
  </si>
  <si>
    <t>SUMINISTRO DE CARNES FRIAS PARA LA AGENCIA LOGÍSTICA DE LAS FUERZAS MILITARES, REGIONAL AMAZONÍA</t>
  </si>
  <si>
    <t>ADMINISTRATIVA</t>
  </si>
  <si>
    <t>PRESTACION DEL SERVICIO DE VIGILANCIA PRIVADA FIJA Y ARMADA, PERMANENTE, PARA LAS INSTALACIONES DE LA SEDE ADMINISTRATIVA Y DEL CAD&amp;S AGLO FLORENCIA, PERTENECIENTES A LA AGENCIA LOGÍSTICA DE LAS FUERZAS MILITARES, REGIONAL AMAZONIA</t>
  </si>
  <si>
    <t>COMPAS SECURITY ZOMAC LTDA</t>
  </si>
  <si>
    <t>901375446-9</t>
  </si>
  <si>
    <t>GINA MARCELA MUÑOZ SUAREZ</t>
  </si>
  <si>
    <t>901151222-4</t>
  </si>
  <si>
    <t>COMPRAVENTA</t>
  </si>
  <si>
    <t>PRESTACIÓN DE SERVICIOS LOGÍSTICOS PARA EL DESARROLLO DEL PROGRAMA DE BIENESTAR SOCIAL PARA EL PERSONAL DE LA AGENCIA LOGÍSTICA DE LAS FUERZAS MILITARES; REGIONAL AMAZONIA Y SUS FAMILIAS</t>
  </si>
  <si>
    <t>PRESTACION DE SERVICIO DE MANTENIMIENTO INTEGRAL PREVENTIVO Y CORRECTIVO A TODO COSTO; CON SUMINISTRO TOTAL DE REPUESTOS Y ACCESORIOS PARA LOS VEHICULOS QUE CONFORMAN EL PARQUE AUTOMOTOR PERTENECIENTE A LA AGENCIA LOGISTICA DE LAS FUERZAS MILITARES REGIONAL AMAZONIA</t>
  </si>
  <si>
    <t>SUMINISTRO DE PRODUCTOS DE CONFITERIA, ENLATADOS, CONSERVADOS Y ABARROTES PARA LA AGENCIA LOGISTICA DE LAS FUERZAS MILITARES, REGIONAL AMAZONIA</t>
  </si>
  <si>
    <t>AVESUR FLORENCIA CA  ZOMAC SAS</t>
  </si>
  <si>
    <t>J &amp; B JOINT VENTURES ZOMAC S.A.S.</t>
  </si>
  <si>
    <t>901553531-0</t>
  </si>
  <si>
    <t xml:space="preserve">AMPARO ROJAS GARCIA </t>
  </si>
  <si>
    <t xml:space="preserve">ABASTECIMIENTOS </t>
  </si>
  <si>
    <t>DIEGO FABIAN PUENTES PRODUCTOS COMMAIZ</t>
  </si>
  <si>
    <t xml:space="preserve">ADMINISTRATIVA </t>
  </si>
  <si>
    <t>006-070-2025</t>
  </si>
  <si>
    <t>006-071-2025</t>
  </si>
  <si>
    <t>SUMINISTRO DE PESCADO PARA LA AGENCIA LOGÍSTICA DE LAS FUERZAS MILITARES; REGIONAL AMAZONÍA</t>
  </si>
  <si>
    <t>006-072-2025</t>
  </si>
  <si>
    <t>SUMINISTRO DE BEBIDAS NO ALCOHOLICAS PARA LA AGENCIA LOGÍSTICA DE LAS FUERZAS MILITARES; REGIONAL AMAZONÍA</t>
  </si>
  <si>
    <t>006-073-2025</t>
  </si>
  <si>
    <t>006-074-2025</t>
  </si>
  <si>
    <t>006-075-2025</t>
  </si>
  <si>
    <t>006-076-2025</t>
  </si>
  <si>
    <t>006-001-2026</t>
  </si>
  <si>
    <t>006-002-2026</t>
  </si>
  <si>
    <t>SUMINISTRO DE TAMALES PARA LA AGENCIA LOGISTICA DE LAS FUERZAS   MILITARES, REGIONAL AMAZONIA</t>
  </si>
  <si>
    <t>SUMINISTRO DE HUEVOS PARA LA AGENCIA LOGISTICA DE LAS FUERZAS MILITARES, REGIONAL AMAZONIA</t>
  </si>
  <si>
    <t>006-003-2026</t>
  </si>
  <si>
    <t>006-004-2026</t>
  </si>
  <si>
    <t>SUMINISTRO DE ADEREZOS; BOCADILLOS VELEÑOS; MAIZ PETO Y AREPAS PARA LA AGENCIA LOGÍSTICA DE LAS FUERZAS MILITARES, REGIONAL AMAZONÍA</t>
  </si>
  <si>
    <t>006-005-2026</t>
  </si>
  <si>
    <t>PRESTACION DEL SERVICIO INTEGRAL  DE ASEO Y CAFETERIA A TODO COSTO</t>
  </si>
  <si>
    <t>006-006-2026</t>
  </si>
  <si>
    <t>PRESTACIÓN DEL SERVICIO DE MANEJO INTEGRAL Y CONTROL DE PLAGAS (FUMIGACIÓN, DESINFECCIÓN, INMUNIZACIÓN Y DESRATIZACIÓN), LAVADO Y DESINFECCIÓN DE TANQUES AGUA POTABLE, EN SEDE ADMINISTRATIVA, UNIDADES DE SERVICIO Y VEHICULOS DE ALFM R. AMAZONIA</t>
  </si>
  <si>
    <t>006-009-2026</t>
  </si>
  <si>
    <t>006-008-2026</t>
  </si>
  <si>
    <t xml:space="preserve"> 006-003-2026</t>
  </si>
  <si>
    <t xml:space="preserve"> 02/03/2026</t>
  </si>
  <si>
    <t xml:space="preserve">            25/02/2026</t>
  </si>
  <si>
    <t xml:space="preserve">                                    18/02/2026</t>
  </si>
  <si>
    <t>006-010-2026</t>
  </si>
  <si>
    <t>006-007-2026</t>
  </si>
  <si>
    <t>SUMINISTRO DE ELEMENTOS DE PROTECCIÓN, SEGURIDAD PERSONAL PARA LOS FUNCIONARIOS DE PLANTA Y SOLDADOS AUXILIARES, QUE LABORAN EN LAS UNIDADES DE SERVICIO ADMINISTRADAS POR AGENCIA LOGISTICA DE LAS FUERZAS MILITARES REGIONAL AMAZONIA</t>
  </si>
  <si>
    <t>006-011-2026</t>
  </si>
  <si>
    <t>SUMINISTRO DE PAPELERÍA; ÚTILES DE ESCRITORIO Y OFICINA; PARA LAS DIFERENTES DEPENDENCIAS PERTENECIENTES A LA AGENCIA LOGÍSTICA DE LAS FUERZAS MILITARES REGIONAL AMAZONIA</t>
  </si>
  <si>
    <t>006-012-2026</t>
  </si>
  <si>
    <t>SUMINISTRO DE PRODUCTOS DE LIMPIEZA, DESINFECCIÓN Y BOLSAS PARA LAS UNIDADES DE NEGOCIODE LA AGENCIA LOGISTICA DE LAS FUERZAS MILITARESREGIONAL AMAZONIA</t>
  </si>
  <si>
    <t>PRESTACION DE SERVICIO DE MANTENIMIENTO INTEGRAL A TODO COSTO CON COBERTURA TOTAL DE REPUESTOS, PARA EL SISTEMA DE AIRES ACONDICIONADOS PERTENECIENTES A LA AGENCIA LOGISTICA DE LAS FUERZAS MILITARES REGIONAL AMAZONIA”.</t>
  </si>
  <si>
    <t>ADMINSITRATIVA</t>
  </si>
  <si>
    <t>006-013-2026</t>
  </si>
  <si>
    <t>006-014-2026</t>
  </si>
  <si>
    <t xml:space="preserve">ADMINISTRTIVA </t>
  </si>
  <si>
    <t>LUIS ENRIQUE MAGON MUÑOZ</t>
  </si>
  <si>
    <t>16188267-5</t>
  </si>
  <si>
    <t>006-016-2026</t>
  </si>
  <si>
    <t xml:space="preserve"> AVESUR FLORENCIA CA ZOMAC S.A.S</t>
  </si>
  <si>
    <t xml:space="preserve">901249274-1 </t>
  </si>
  <si>
    <t>O.C 162217</t>
  </si>
  <si>
    <t xml:space="preserve">CONSORCIO @ C Y D   </t>
  </si>
  <si>
    <t>GRUPO LOS LAGOS S.A.S</t>
  </si>
  <si>
    <t>860053274 9</t>
  </si>
  <si>
    <t xml:space="preserve">MARIA CONTANZA RODRIGUEZ </t>
  </si>
  <si>
    <t>LUIS ORLANDO PERDOMO PERDOMO</t>
  </si>
  <si>
    <t>1117539417-8</t>
  </si>
  <si>
    <t>006-015-2026</t>
  </si>
  <si>
    <t xml:space="preserve">CONVIL SOLUCIONES SAS </t>
  </si>
  <si>
    <t>006-017-2026</t>
  </si>
  <si>
    <t>ADMINISTRATIVAS</t>
  </si>
  <si>
    <t>SUMINISTRO DE CONSUMIBLESDE IMPRESIÓN; PARA LA AGENCIA LOGÍSTICA DELAS FUERZAS MILITARES REGIONAL AMAZONIA</t>
  </si>
  <si>
    <t>Sumimas S.A.S.</t>
  </si>
  <si>
    <t>OC 163567</t>
  </si>
  <si>
    <t>006-018-2026</t>
  </si>
  <si>
    <t xml:space="preserve">HECTOR EDUARDO OSPINA SANCHEZ
</t>
  </si>
  <si>
    <t>006-019-2026</t>
  </si>
  <si>
    <t>006-020-2026</t>
  </si>
  <si>
    <t>006-021-2026</t>
  </si>
  <si>
    <t>SUMINISTRO DE ELEMENTOS DE CONSTRUCCION Y FERRETERIA PARA LA SEDE ADMINISTRATIVA Y UNIDADES DE NEGOCIO DE LA AGENCIA LOGISTICA DE LAS FUERZAS MILITARES REGIONAL AMAZONIA</t>
  </si>
  <si>
    <t>CRR SOLUCIONES INTEGRALES SAS</t>
  </si>
  <si>
    <t>901406206-2</t>
  </si>
  <si>
    <t>GRUPO EMPRESARIAL COLOMBIA G.E.C. S.A.S</t>
  </si>
  <si>
    <t>900918522-9</t>
  </si>
  <si>
    <t xml:space="preserve">ARLINSON ADRIAN ESCUDERO OSPINA </t>
  </si>
  <si>
    <t>006-022-2026</t>
  </si>
  <si>
    <t>006-023-2026</t>
  </si>
  <si>
    <t>006-024-2026</t>
  </si>
  <si>
    <t>PRESTACIÓN DE SERVICIO DE MANTENIMIENTO PREVENTIVO Y CORRECTIVO CON BOLSA DE REPUESTOS PARA LOS EQUIPOS DE CÓMPUTO, IMPRESORAS E INFRAESTRUCTURA TECNOLÓGICA DE LA AGENCIA LOGÍSTICA DE LAS FUERZAS MILITARES REGIONAL AMAZONIA</t>
  </si>
  <si>
    <t>SUMINISTRO DE BOLSAS DE CIERRE HERMETICO, REACTIVOS PARA LA MEDICION DE CLORO Y pH DEL AGUA, IMPRESIÓN DE VALES Y ROTULOS ADHESIVOS, PARA LAS UNIDADES DE SERVICIOS ADMINISTRADAS POR LA AGENCIA LOGISTICA DE LAS FUERZAS MILITARES, REGIONAL AMAZONIA</t>
  </si>
  <si>
    <t>PRESTACION DEL SERVICIO PARA EFECTUAR MUESTREO Y ANALISIS MICROBIOLOGICOS Y FISICOQUIMICOS DE AGUA, ALIMENTOS TERMINADOS, MATERIAS PRIMAS, SUPERFICIES, MANIPULADORES Y AMBIENTES, DE LAS UNIDADES DE SERVICIO ADMINISTRADAS POR LA AGENCIA LOGISTICA DE LAS FUERZAS MILITARES, REGIONAL AMAZONIA</t>
  </si>
  <si>
    <t>006-025-2026</t>
  </si>
  <si>
    <t>006-026-2026</t>
  </si>
  <si>
    <t>006-027-2026</t>
  </si>
  <si>
    <t>ADQUISICIÓN DE HARINAPRECOCIDA MAIZ MANTEQUILLA Y PASTAALIMENTICIA FORTIF TIPO SECO y PASTAALIMENTICIA FORTIF TIPO SOPA PARA LAAGENCIA LOGISTICA DE LAS FUERZASMILITARES, REGIONAL AMAZONIA</t>
  </si>
  <si>
    <t xml:space="preserve">SHALOM GES SAS </t>
  </si>
  <si>
    <t>OC 165807</t>
  </si>
  <si>
    <t xml:space="preserve">CARLOS ALBERTO BONILLO MOLANO </t>
  </si>
  <si>
    <t>AQUISICION DE MAYONESA DOYPACK SALSA ADEREZO PARA LAAGENCIALOGISTICA DE LAS FUERZAS MILITARESREGIONAL AMAZONIA</t>
  </si>
  <si>
    <t>OC 165809</t>
  </si>
  <si>
    <t>ROBINSON ARTUNDUAGA</t>
  </si>
  <si>
    <t>ADQUISICION DE BEBIDAACHOCOLATADA DOY PACK PARA LA AGENCIALOGISTICA DE LAS FUERZAS MILITARES ,REGIONAL AMAZONIA</t>
  </si>
  <si>
    <t>006-028-2026</t>
  </si>
  <si>
    <t xml:space="preserve">ATLANTIC FS SAS </t>
  </si>
  <si>
    <t>OC 165810</t>
  </si>
  <si>
    <t>006-029-2026</t>
  </si>
  <si>
    <t>006-030-2026</t>
  </si>
  <si>
    <t>SUMINISTRO DE DOTACIÓN  PARA LOS FUNCIONARIOS  DE LA AGENCIA LOGISTICA DE LAS FUERZAS MILITARES REGIONAL AMAZONIA  QUE TIENEN DERECHO POR NORMATIVIDAD</t>
  </si>
  <si>
    <t>PRESTACIÓN DEL SERVICIO DE MANTENIMIENTO Y CALIBRACION A TODO COSTO, DE LOS EQUIPOS DE MEDICION PERTENECIENTES A LAS UNIDADES DE SERVICIO DE LA AGENCIA LOGISTICA DE LAS FUERZAS MILITARES, REGIONAL AMAZONIA</t>
  </si>
  <si>
    <t>IDEAS CAQUETA SAS</t>
  </si>
  <si>
    <t>901542905-4</t>
  </si>
  <si>
    <t xml:space="preserve">ROBINSON ARTUNDUAGA  CUELLAR </t>
  </si>
  <si>
    <t>900023598-6</t>
  </si>
  <si>
    <t>DARLYN  BOLAÑOS GARCIA</t>
  </si>
  <si>
    <t>AVESUR FLORENCIA CA ZOMAC S.A.S</t>
  </si>
  <si>
    <t>ANA ISABEL PEREZ ARIAS</t>
  </si>
  <si>
    <t>006-031-2026</t>
  </si>
  <si>
    <t>006-032-2026</t>
  </si>
  <si>
    <t>006-033-2026</t>
  </si>
  <si>
    <t>CONTRATAR EL SERVICIO DE REVISIÓN TÉCNICO-MECÁNICA DE LOS VEHÍCULOS LA AGENCIA LOGÍSTICA DE LAS FUERZAS MILITARES REGIONAL AMAZONIA</t>
  </si>
  <si>
    <t>CENTRO DE DIAGNOSTICO AUTOMOTOR DEL CAQUETA LIMITADA</t>
  </si>
  <si>
    <t>900156521-0</t>
  </si>
  <si>
    <t>006-035-2026</t>
  </si>
  <si>
    <t>006-034-2026</t>
  </si>
  <si>
    <t>006-036-2026</t>
  </si>
  <si>
    <t>006-037-2026</t>
  </si>
  <si>
    <t>006-038-2026</t>
  </si>
  <si>
    <t>006-039-2026</t>
  </si>
  <si>
    <t>17690969-3</t>
  </si>
  <si>
    <t xml:space="preserve">ALEJANDRO FIGUEROA LOSADA </t>
  </si>
  <si>
    <t>006-040-2026</t>
  </si>
  <si>
    <t>JIMMY ALEXANDER PIMENTEL SANCHEZ</t>
  </si>
  <si>
    <t>6804676-1</t>
  </si>
  <si>
    <t>CONTROL Y GESTION AMBIENTAL S.A.S.</t>
  </si>
  <si>
    <t>SUPERIOR DE DOTACIONES SAS</t>
  </si>
  <si>
    <t>830144875-7</t>
  </si>
  <si>
    <t>IMPOMIN S.A.S.</t>
  </si>
  <si>
    <t>900535843-3</t>
  </si>
  <si>
    <t>LUIS ALBERTO MONTEALEGRE CASTRO</t>
  </si>
  <si>
    <t>006-041-2026</t>
  </si>
  <si>
    <t>PRESTACIÓN DE SERVICIOS  PARA LA REALIZACIÓN DE EVALUACIONES MÉDICAS OCUPACIONALES DE INGRESO Y/O EGRESO, PERIÓDICOS, REINTEGRO, VACUNACIÓN PARA LOS FUNCIONARIOS DE LA ALFM REGIONAL AMAZONIA</t>
  </si>
  <si>
    <t>COMPAÑIA LIDER DE PROFESIONALES EN SALUD SAS</t>
  </si>
  <si>
    <t>900304743-4</t>
  </si>
  <si>
    <t>SUMINISTRO DE PRODUCTOS LACTEOS PARA LA AGENCIA LOGÍSTICA DE LAS FUERZAS MILITARES, REGIONAL AMAZONÍA</t>
  </si>
  <si>
    <t>GRUPO EMPRRESARIAL TRIPLE AAA S.A.S.</t>
  </si>
  <si>
    <t>901574445-5</t>
  </si>
  <si>
    <t>SUMINISTRO DE PRODUCTOS BEBIDAS NO ALCOHOLICAS PARA LA AGENCIA LOGÍSTICA DE LAS FUERZAS MILITARES, REGIONAL AMAZONÍA</t>
  </si>
  <si>
    <t xml:space="preserve"> 20/08/2026</t>
  </si>
  <si>
    <t xml:space="preserve">HECTOR EDUAEDO OSPINA SANCHEZ </t>
  </si>
  <si>
    <t>PUNKYS BREAK SAS</t>
  </si>
  <si>
    <t>900211608-8</t>
  </si>
  <si>
    <t>NÚMERO DE CONTRATO</t>
  </si>
  <si>
    <t>CARGO DEL ORDENADOR DEL GASTO O SU DELEGADO</t>
  </si>
  <si>
    <t>OBJETO DEL CONTRATO</t>
  </si>
  <si>
    <t>NO. PROCESO</t>
  </si>
  <si>
    <t>CLASE DE CONTRATO</t>
  </si>
  <si>
    <t>VALOR INICIAL DEL CONTRATO (En pesos)</t>
  </si>
  <si>
    <t>CDP</t>
  </si>
  <si>
    <t>CONTRATISTA  NATURALEZA</t>
  </si>
  <si>
    <t>CONTRATISTA : TIPO IDENTIFICACIÓN</t>
  </si>
  <si>
    <t>NÚMERO
IDENTIFICACIÓN</t>
  </si>
  <si>
    <t>SUPERVISOR : NOMBRE COMPLETO</t>
  </si>
  <si>
    <t>ADICIÓN 1</t>
  </si>
  <si>
    <t>ADICIÓN 2</t>
  </si>
  <si>
    <t>ADICIONES : VALOR TOTAL</t>
  </si>
  <si>
    <t>REDUCCIÓN</t>
  </si>
  <si>
    <t>VALOR TOTAL DEL CONTRATO MAS ADICIONES Y REDUCCIONES</t>
  </si>
  <si>
    <t>SALDO
PENDIENTE POR PAGAR</t>
  </si>
  <si>
    <t>PRÓRROGA 1</t>
  </si>
  <si>
    <t>PRÓRROGA 2</t>
  </si>
  <si>
    <t xml:space="preserve">PORCENTAJE AVANCE PRESUPUESTAL </t>
  </si>
  <si>
    <t>TENIENTE CORONEL JULIÁN FERNANDO SERRANO SERRANO</t>
  </si>
  <si>
    <t>NIT</t>
  </si>
  <si>
    <t xml:space="preserve">CEDULA </t>
  </si>
  <si>
    <t>0</t>
  </si>
  <si>
    <t xml:space="preserve">JURIDICO </t>
  </si>
  <si>
    <t xml:space="preserve">NATURAL </t>
  </si>
  <si>
    <t>NATURAL</t>
  </si>
  <si>
    <t>CONTRATISTA : NOMBRE COMPLETO</t>
  </si>
  <si>
    <t>FECHA SUSCRIPCIÓN PRORROGA 1</t>
  </si>
  <si>
    <t>FECHA SUSCRIPCIÓN PRÓRROGA 2</t>
  </si>
  <si>
    <t>FECHA INICIO CONTRATO</t>
  </si>
  <si>
    <t>FECHA TERMINACIÓN CONTRATO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</si>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</sst>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42" fontId="4" fillId="0" borderId="1" xfId="2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1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4" fontId="4" fillId="2" borderId="1" xfId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9" fontId="0" fillId="0" borderId="0" xfId="4" applyFont="1"/>
    <xf numFmtId="9" fontId="0" fillId="0" borderId="1" xfId="4" applyFont="1" applyBorder="1"/>
    <xf numFmtId="0" fontId="5" fillId="2" borderId="1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9" fontId="6" fillId="2" borderId="1" xfId="4" applyFont="1" applyFill="1" applyBorder="1"/>
    <xf numFmtId="0" fontId="6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</cellXfs>
  <cellStyles count="5">
    <cellStyle name="Millares 2 10 2 2" xfId="3"/>
    <cellStyle name="Moneda" xfId="1" builtinId="4"/>
    <cellStyle name="Moneda [0]" xfId="2" builtinId="7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tabSelected="1" zoomScale="82" zoomScaleNormal="82" workbookViewId="0">
      <selection activeCell="A50" sqref="A50"/>
    </sheetView>
  </sheetViews>
  <sheetFormatPr baseColWidth="10" defaultRowHeight="15" x14ac:dyDescent="0.25"/>
  <cols>
    <col min="1" max="1" width="15" customWidth="1"/>
    <col min="2" max="2" width="16.5703125" style="11" customWidth="1"/>
    <col min="3" max="3" width="25.85546875" customWidth="1"/>
    <col min="4" max="4" width="23.140625" customWidth="1"/>
    <col min="5" max="5" width="58.7109375" customWidth="1"/>
    <col min="6" max="6" width="21.5703125" customWidth="1"/>
    <col min="7" max="7" width="14" customWidth="1"/>
    <col min="8" max="8" width="24.42578125" customWidth="1"/>
    <col min="9" max="9" width="21.42578125" customWidth="1"/>
    <col min="10" max="10" width="16.28515625" customWidth="1"/>
    <col min="11" max="11" width="15.140625" customWidth="1"/>
    <col min="12" max="12" width="21.42578125" customWidth="1"/>
    <col min="13" max="13" width="14.85546875" customWidth="1"/>
    <col min="14" max="14" width="21" customWidth="1"/>
    <col min="15" max="15" width="24.42578125" customWidth="1"/>
    <col min="16" max="16" width="20.7109375" customWidth="1"/>
    <col min="17" max="17" width="22.28515625" customWidth="1"/>
    <col min="18" max="19" width="21.85546875" customWidth="1"/>
    <col min="20" max="20" width="20.7109375" customWidth="1"/>
    <col min="21" max="21" width="23.7109375" customWidth="1"/>
    <col min="22" max="22" width="23" customWidth="1"/>
    <col min="23" max="23" width="21.42578125" customWidth="1"/>
    <col min="24" max="24" width="15.7109375" customWidth="1"/>
    <col min="26" max="26" width="15.140625" customWidth="1"/>
    <col min="28" max="28" width="18.7109375" customWidth="1"/>
    <col min="29" max="29" width="16.5703125" customWidth="1"/>
    <col min="30" max="30" width="24.7109375" customWidth="1"/>
    <col min="31" max="31" width="13.140625" customWidth="1"/>
  </cols>
  <sheetData>
    <row r="1" spans="1:30" s="16" customFormat="1" ht="94.5" customHeight="1" x14ac:dyDescent="0.2">
      <c r="A1" s="15" t="s">
        <v>175</v>
      </c>
      <c r="B1" s="15" t="s">
        <v>2</v>
      </c>
      <c r="C1" s="15" t="s">
        <v>176</v>
      </c>
      <c r="D1" s="15" t="s">
        <v>0</v>
      </c>
      <c r="E1" s="15" t="s">
        <v>177</v>
      </c>
      <c r="F1" s="15" t="s">
        <v>1</v>
      </c>
      <c r="G1" s="15" t="s">
        <v>178</v>
      </c>
      <c r="H1" s="15" t="s">
        <v>179</v>
      </c>
      <c r="I1" s="15" t="s">
        <v>180</v>
      </c>
      <c r="J1" s="15" t="s">
        <v>181</v>
      </c>
      <c r="K1" s="15" t="s">
        <v>3</v>
      </c>
      <c r="L1" s="15" t="s">
        <v>182</v>
      </c>
      <c r="M1" s="15" t="s">
        <v>183</v>
      </c>
      <c r="N1" s="15" t="s">
        <v>184</v>
      </c>
      <c r="O1" s="15" t="s">
        <v>202</v>
      </c>
      <c r="P1" s="15" t="s">
        <v>185</v>
      </c>
      <c r="Q1" s="15" t="s">
        <v>186</v>
      </c>
      <c r="R1" s="15" t="s">
        <v>187</v>
      </c>
      <c r="S1" s="15" t="s">
        <v>188</v>
      </c>
      <c r="T1" s="15" t="s">
        <v>189</v>
      </c>
      <c r="U1" s="15" t="s">
        <v>190</v>
      </c>
      <c r="V1" s="15" t="s">
        <v>4</v>
      </c>
      <c r="W1" s="15" t="s">
        <v>191</v>
      </c>
      <c r="X1" s="15" t="s">
        <v>203</v>
      </c>
      <c r="Y1" s="15" t="s">
        <v>192</v>
      </c>
      <c r="Z1" s="15" t="s">
        <v>204</v>
      </c>
      <c r="AA1" s="15" t="s">
        <v>193</v>
      </c>
      <c r="AB1" s="15" t="s">
        <v>205</v>
      </c>
      <c r="AC1" s="15" t="s">
        <v>206</v>
      </c>
      <c r="AD1" s="15" t="s">
        <v>194</v>
      </c>
    </row>
    <row r="2" spans="1:30" ht="45" x14ac:dyDescent="0.25">
      <c r="A2" s="1" t="s">
        <v>57</v>
      </c>
      <c r="B2" s="2">
        <v>46069</v>
      </c>
      <c r="C2" s="1" t="s">
        <v>195</v>
      </c>
      <c r="D2" s="1" t="s">
        <v>38</v>
      </c>
      <c r="E2" s="1" t="s">
        <v>23</v>
      </c>
      <c r="F2" s="1" t="s">
        <v>5</v>
      </c>
      <c r="G2" s="1" t="s">
        <v>41</v>
      </c>
      <c r="H2" s="1" t="s">
        <v>6</v>
      </c>
      <c r="I2" s="3">
        <v>240000000</v>
      </c>
      <c r="J2" s="1">
        <v>826</v>
      </c>
      <c r="K2" s="1">
        <v>7926</v>
      </c>
      <c r="L2" s="1" t="s">
        <v>199</v>
      </c>
      <c r="M2" s="1" t="s">
        <v>196</v>
      </c>
      <c r="N2" s="1" t="s">
        <v>11</v>
      </c>
      <c r="O2" s="1" t="s">
        <v>34</v>
      </c>
      <c r="P2" s="1" t="s">
        <v>10</v>
      </c>
      <c r="Q2" s="3">
        <v>50000000</v>
      </c>
      <c r="R2" s="1"/>
      <c r="S2" s="3">
        <f>+Q2+R2</f>
        <v>50000000</v>
      </c>
      <c r="T2" s="10" t="s">
        <v>198</v>
      </c>
      <c r="U2" s="3">
        <f>+I2+S2-T2</f>
        <v>290000000</v>
      </c>
      <c r="V2" s="3">
        <f>26844000+8943000+11526000+8113100+3857100+21010500+6688100+51388000+16565600+45245800+5064300+13400+13772100+27637600+5454100+18045700+19817800</f>
        <v>289986200</v>
      </c>
      <c r="W2" s="4">
        <f>+I2+S2-T2-V2</f>
        <v>13800</v>
      </c>
      <c r="X2" s="2">
        <v>46234</v>
      </c>
      <c r="Z2" s="1"/>
      <c r="AB2" s="5">
        <v>46072</v>
      </c>
      <c r="AC2" s="5">
        <v>46203</v>
      </c>
      <c r="AD2" s="18">
        <f>+V2/U2</f>
        <v>0.9999524137931034</v>
      </c>
    </row>
    <row r="3" spans="1:30" s="23" customFormat="1" ht="72.75" customHeight="1" x14ac:dyDescent="0.25">
      <c r="A3" s="19"/>
      <c r="B3" s="19"/>
      <c r="C3" s="19" t="s">
        <v>195</v>
      </c>
      <c r="D3" s="19" t="s">
        <v>38</v>
      </c>
      <c r="E3" s="19" t="s">
        <v>43</v>
      </c>
      <c r="F3" s="19" t="s">
        <v>5</v>
      </c>
      <c r="G3" s="19" t="s">
        <v>42</v>
      </c>
      <c r="H3" s="19" t="s">
        <v>6</v>
      </c>
      <c r="I3" s="20">
        <v>300000000</v>
      </c>
      <c r="J3" s="19">
        <v>926</v>
      </c>
      <c r="K3" s="19"/>
      <c r="L3" s="19"/>
      <c r="M3" s="9"/>
      <c r="N3" s="19"/>
      <c r="O3" s="19"/>
      <c r="P3" s="19"/>
      <c r="Q3" s="20"/>
      <c r="R3" s="20"/>
      <c r="S3" s="20">
        <f t="shared" ref="S3:S49" si="0">+Q3+R3</f>
        <v>0</v>
      </c>
      <c r="T3" s="20"/>
      <c r="U3" s="20">
        <f t="shared" ref="U3:U49" si="1">+I3+S3-T3</f>
        <v>300000000</v>
      </c>
      <c r="V3" s="20"/>
      <c r="W3" s="20"/>
      <c r="X3" s="19"/>
      <c r="Y3" s="20"/>
      <c r="Z3" s="19"/>
      <c r="AA3" s="20"/>
      <c r="AB3" s="21"/>
      <c r="AC3" s="21"/>
      <c r="AD3" s="22">
        <f t="shared" ref="AD3:AD49" si="2">+V3/U3</f>
        <v>0</v>
      </c>
    </row>
    <row r="4" spans="1:30" ht="60" x14ac:dyDescent="0.25">
      <c r="A4" s="1" t="s">
        <v>61</v>
      </c>
      <c r="B4" s="2">
        <v>46072</v>
      </c>
      <c r="C4" s="1" t="s">
        <v>195</v>
      </c>
      <c r="D4" s="1" t="s">
        <v>38</v>
      </c>
      <c r="E4" s="1" t="s">
        <v>45</v>
      </c>
      <c r="F4" s="1" t="s">
        <v>5</v>
      </c>
      <c r="G4" s="1" t="s">
        <v>44</v>
      </c>
      <c r="H4" s="1" t="s">
        <v>6</v>
      </c>
      <c r="I4" s="3">
        <v>300000000</v>
      </c>
      <c r="J4" s="1">
        <v>1526</v>
      </c>
      <c r="K4" s="1">
        <v>10526</v>
      </c>
      <c r="L4" s="1" t="s">
        <v>200</v>
      </c>
      <c r="M4" s="1" t="s">
        <v>197</v>
      </c>
      <c r="N4" s="1" t="s">
        <v>20</v>
      </c>
      <c r="O4" s="1" t="s">
        <v>39</v>
      </c>
      <c r="P4" s="1" t="s">
        <v>10</v>
      </c>
      <c r="Q4" s="3">
        <v>90000000</v>
      </c>
      <c r="R4" s="3"/>
      <c r="S4" s="3">
        <f t="shared" si="0"/>
        <v>90000000</v>
      </c>
      <c r="T4" s="3"/>
      <c r="U4" s="3">
        <f t="shared" si="1"/>
        <v>390000000</v>
      </c>
      <c r="V4" s="3">
        <f>22647560+10764412+5505855+12047616+1616747+56572554+18466762+83737796+1830000+40031284+17126720+20370318+37702010+4066600+24106790+33398120</f>
        <v>389991144</v>
      </c>
      <c r="W4" s="3">
        <f t="shared" ref="W4:W49" si="3">+I4+S4-T4-V4</f>
        <v>8856</v>
      </c>
      <c r="X4" s="2">
        <v>46234</v>
      </c>
      <c r="Y4" s="3"/>
      <c r="Z4" s="1"/>
      <c r="AA4" s="3"/>
      <c r="AB4" s="5">
        <v>46077</v>
      </c>
      <c r="AC4" s="5">
        <v>46203</v>
      </c>
      <c r="AD4" s="18">
        <f t="shared" si="2"/>
        <v>0.99997729230769228</v>
      </c>
    </row>
    <row r="5" spans="1:30" ht="45" x14ac:dyDescent="0.25">
      <c r="A5" s="1" t="s">
        <v>62</v>
      </c>
      <c r="B5" s="2">
        <v>46070</v>
      </c>
      <c r="C5" s="1" t="s">
        <v>195</v>
      </c>
      <c r="D5" s="1" t="s">
        <v>38</v>
      </c>
      <c r="E5" s="1" t="s">
        <v>13</v>
      </c>
      <c r="F5" s="1" t="s">
        <v>5</v>
      </c>
      <c r="G5" s="1" t="s">
        <v>46</v>
      </c>
      <c r="H5" s="1" t="s">
        <v>6</v>
      </c>
      <c r="I5" s="3">
        <v>700000000</v>
      </c>
      <c r="J5" s="1">
        <v>1426</v>
      </c>
      <c r="K5" s="1">
        <v>8426</v>
      </c>
      <c r="L5" s="1" t="s">
        <v>201</v>
      </c>
      <c r="M5" s="1" t="s">
        <v>197</v>
      </c>
      <c r="N5" s="1" t="s">
        <v>9</v>
      </c>
      <c r="O5" s="1" t="s">
        <v>8</v>
      </c>
      <c r="P5" s="1" t="s">
        <v>10</v>
      </c>
      <c r="Q5" s="3">
        <v>50000000</v>
      </c>
      <c r="R5" s="3">
        <v>90000000</v>
      </c>
      <c r="S5" s="3">
        <f t="shared" si="0"/>
        <v>140000000</v>
      </c>
      <c r="T5" s="3"/>
      <c r="U5" s="3">
        <f t="shared" si="1"/>
        <v>840000000</v>
      </c>
      <c r="V5" s="3">
        <f>78832000+27865520+25472180+29569600+4336220+68118070+24223470+125811780+32051670+88805810+22508990+44482180+62031400+12724540+64308040+128771070</f>
        <v>839912540</v>
      </c>
      <c r="W5" s="3">
        <f t="shared" si="3"/>
        <v>87460</v>
      </c>
      <c r="X5" s="2">
        <v>46234</v>
      </c>
      <c r="Y5" s="3"/>
      <c r="Z5" s="2">
        <v>46249</v>
      </c>
      <c r="AA5" s="3"/>
      <c r="AB5" s="5">
        <v>46078</v>
      </c>
      <c r="AC5" s="5">
        <v>46203</v>
      </c>
      <c r="AD5" s="18">
        <f t="shared" si="2"/>
        <v>0.99989588095238091</v>
      </c>
    </row>
    <row r="6" spans="1:30" ht="45" x14ac:dyDescent="0.25">
      <c r="A6" s="1" t="s">
        <v>63</v>
      </c>
      <c r="B6" s="2">
        <v>46065</v>
      </c>
      <c r="C6" s="1" t="s">
        <v>195</v>
      </c>
      <c r="D6" s="1" t="s">
        <v>38</v>
      </c>
      <c r="E6" s="1" t="s">
        <v>7</v>
      </c>
      <c r="F6" s="1" t="s">
        <v>5</v>
      </c>
      <c r="G6" s="1" t="s">
        <v>47</v>
      </c>
      <c r="H6" s="1" t="s">
        <v>6</v>
      </c>
      <c r="I6" s="3">
        <v>900000000</v>
      </c>
      <c r="J6" s="1">
        <v>1026</v>
      </c>
      <c r="K6" s="1">
        <v>7826</v>
      </c>
      <c r="L6" s="1" t="s">
        <v>201</v>
      </c>
      <c r="M6" s="1" t="s">
        <v>197</v>
      </c>
      <c r="N6" s="1" t="s">
        <v>9</v>
      </c>
      <c r="O6" s="1" t="s">
        <v>8</v>
      </c>
      <c r="P6" s="1" t="s">
        <v>10</v>
      </c>
      <c r="Q6" s="3">
        <v>210000000</v>
      </c>
      <c r="R6" s="3"/>
      <c r="S6" s="3">
        <f t="shared" si="0"/>
        <v>210000000</v>
      </c>
      <c r="T6" s="3"/>
      <c r="U6" s="3">
        <f t="shared" si="1"/>
        <v>1110000000</v>
      </c>
      <c r="V6" s="3">
        <f>59729490+43357510+48921300+166002940+14049840+246544220+13198050+192092510+135048440+62222380+4123200+124709810</f>
        <v>1109999690</v>
      </c>
      <c r="W6" s="3">
        <f t="shared" si="3"/>
        <v>310</v>
      </c>
      <c r="X6" s="2">
        <v>46234</v>
      </c>
      <c r="Y6" s="3"/>
      <c r="Z6" s="2">
        <v>46249</v>
      </c>
      <c r="AA6" s="3"/>
      <c r="AB6" s="5" t="s">
        <v>64</v>
      </c>
      <c r="AC6" s="5">
        <v>46203</v>
      </c>
      <c r="AD6" s="18">
        <f t="shared" si="2"/>
        <v>0.99999972072072074</v>
      </c>
    </row>
    <row r="7" spans="1:30" ht="60" x14ac:dyDescent="0.25">
      <c r="A7" s="1" t="s">
        <v>59</v>
      </c>
      <c r="B7" s="2">
        <v>46069</v>
      </c>
      <c r="C7" s="1" t="s">
        <v>195</v>
      </c>
      <c r="D7" s="1" t="s">
        <v>38</v>
      </c>
      <c r="E7" s="1" t="s">
        <v>16</v>
      </c>
      <c r="F7" s="1" t="s">
        <v>5</v>
      </c>
      <c r="G7" s="1" t="s">
        <v>48</v>
      </c>
      <c r="H7" s="1" t="s">
        <v>6</v>
      </c>
      <c r="I7" s="3">
        <v>280000000</v>
      </c>
      <c r="J7" s="1">
        <v>1126</v>
      </c>
      <c r="K7" s="1">
        <v>8026</v>
      </c>
      <c r="L7" s="1" t="s">
        <v>201</v>
      </c>
      <c r="M7" s="1" t="s">
        <v>197</v>
      </c>
      <c r="N7" s="1" t="s">
        <v>20</v>
      </c>
      <c r="O7" s="1" t="s">
        <v>39</v>
      </c>
      <c r="P7" s="1" t="s">
        <v>10</v>
      </c>
      <c r="Q7" s="3">
        <v>110000000</v>
      </c>
      <c r="R7" s="3"/>
      <c r="S7" s="3">
        <f t="shared" si="0"/>
        <v>110000000</v>
      </c>
      <c r="T7" s="3"/>
      <c r="U7" s="3">
        <f t="shared" si="1"/>
        <v>390000000</v>
      </c>
      <c r="V7" s="3">
        <f>1122300+602694+21947768+21547147+13320898+7336700+79152652+19809774+74060128+37896752.5+19829158+18977558+30705588.5+6346157.5+37343539</f>
        <v>389998814.5</v>
      </c>
      <c r="W7" s="3">
        <f t="shared" si="3"/>
        <v>1185.5</v>
      </c>
      <c r="X7" s="2">
        <v>46234</v>
      </c>
      <c r="Y7" s="3"/>
      <c r="Z7" s="1"/>
      <c r="AA7" s="3"/>
      <c r="AB7" s="5" t="s">
        <v>65</v>
      </c>
      <c r="AC7" s="5">
        <v>46203</v>
      </c>
      <c r="AD7" s="18">
        <f t="shared" si="2"/>
        <v>0.99999696025641027</v>
      </c>
    </row>
    <row r="8" spans="1:30" ht="45" x14ac:dyDescent="0.25">
      <c r="A8" s="1" t="s">
        <v>50</v>
      </c>
      <c r="B8" s="2">
        <v>46063</v>
      </c>
      <c r="C8" s="1" t="s">
        <v>195</v>
      </c>
      <c r="D8" s="1" t="s">
        <v>207</v>
      </c>
      <c r="E8" s="1" t="s">
        <v>52</v>
      </c>
      <c r="F8" s="1" t="s">
        <v>5</v>
      </c>
      <c r="G8" s="1" t="s">
        <v>49</v>
      </c>
      <c r="H8" s="1" t="s">
        <v>6</v>
      </c>
      <c r="I8" s="3">
        <v>360000000</v>
      </c>
      <c r="J8" s="1">
        <v>1326</v>
      </c>
      <c r="K8" s="1">
        <v>7526</v>
      </c>
      <c r="L8" s="1" t="s">
        <v>199</v>
      </c>
      <c r="M8" s="1" t="s">
        <v>196</v>
      </c>
      <c r="N8" s="1" t="s">
        <v>11</v>
      </c>
      <c r="O8" s="1" t="s">
        <v>34</v>
      </c>
      <c r="P8" s="1" t="s">
        <v>12</v>
      </c>
      <c r="Q8" s="3"/>
      <c r="R8" s="3"/>
      <c r="S8" s="3">
        <f t="shared" si="0"/>
        <v>0</v>
      </c>
      <c r="T8" s="3"/>
      <c r="U8" s="3">
        <f t="shared" si="1"/>
        <v>360000000</v>
      </c>
      <c r="V8" s="3">
        <f>10424400+15621300+22128900+121023000+6405600+19997100+12903000+12010500+12000300+29304600+8063100</f>
        <v>269881800</v>
      </c>
      <c r="W8" s="3">
        <f t="shared" si="3"/>
        <v>90118200</v>
      </c>
      <c r="X8" s="1"/>
      <c r="Y8" s="3"/>
      <c r="Z8" s="1"/>
      <c r="AA8" s="3"/>
      <c r="AB8" s="5" t="s">
        <v>66</v>
      </c>
      <c r="AC8" s="5">
        <v>46203</v>
      </c>
      <c r="AD8" s="18">
        <f t="shared" si="2"/>
        <v>0.74967166666666663</v>
      </c>
    </row>
    <row r="9" spans="1:30" ht="60" x14ac:dyDescent="0.25">
      <c r="A9" s="1" t="s">
        <v>68</v>
      </c>
      <c r="B9" s="2">
        <v>46070</v>
      </c>
      <c r="C9" s="1" t="s">
        <v>195</v>
      </c>
      <c r="D9" s="1" t="s">
        <v>38</v>
      </c>
      <c r="E9" s="1" t="s">
        <v>53</v>
      </c>
      <c r="F9" s="1" t="s">
        <v>5</v>
      </c>
      <c r="G9" s="1" t="s">
        <v>50</v>
      </c>
      <c r="H9" s="1" t="s">
        <v>6</v>
      </c>
      <c r="I9" s="3">
        <v>240000000</v>
      </c>
      <c r="J9" s="1">
        <v>2426</v>
      </c>
      <c r="K9" s="1">
        <v>8226</v>
      </c>
      <c r="L9" s="1" t="s">
        <v>200</v>
      </c>
      <c r="M9" s="1" t="s">
        <v>197</v>
      </c>
      <c r="N9" s="1" t="s">
        <v>20</v>
      </c>
      <c r="O9" s="1" t="s">
        <v>39</v>
      </c>
      <c r="P9" s="6" t="s">
        <v>18</v>
      </c>
      <c r="Q9" s="3">
        <v>40000000</v>
      </c>
      <c r="R9" s="3"/>
      <c r="S9" s="3">
        <f t="shared" si="0"/>
        <v>40000000</v>
      </c>
      <c r="T9" s="3"/>
      <c r="U9" s="3">
        <f t="shared" si="1"/>
        <v>280000000</v>
      </c>
      <c r="V9" s="3">
        <f>41216000+19289600+23904000+4928000+37108480+18752000+11232000+19833600+11712000+4480000+26688000+12982400+9632000+16207360+20434560+1600000</f>
        <v>280000000</v>
      </c>
      <c r="W9" s="3">
        <f t="shared" si="3"/>
        <v>0</v>
      </c>
      <c r="X9" s="2">
        <v>46234</v>
      </c>
      <c r="Y9" s="3"/>
      <c r="Z9" s="1"/>
      <c r="AA9" s="3"/>
      <c r="AB9" s="5">
        <v>46071</v>
      </c>
      <c r="AC9" s="5">
        <v>46203</v>
      </c>
      <c r="AD9" s="18">
        <f t="shared" si="2"/>
        <v>1</v>
      </c>
    </row>
    <row r="10" spans="1:30" ht="45" x14ac:dyDescent="0.25">
      <c r="A10" s="1" t="s">
        <v>67</v>
      </c>
      <c r="B10" s="2">
        <v>46077</v>
      </c>
      <c r="C10" s="1" t="s">
        <v>195</v>
      </c>
      <c r="D10" s="1" t="s">
        <v>38</v>
      </c>
      <c r="E10" s="1" t="s">
        <v>21</v>
      </c>
      <c r="F10" s="1" t="s">
        <v>5</v>
      </c>
      <c r="G10" s="1" t="s">
        <v>51</v>
      </c>
      <c r="H10" s="1" t="s">
        <v>6</v>
      </c>
      <c r="I10" s="3">
        <v>150000000</v>
      </c>
      <c r="J10" s="1">
        <v>2526</v>
      </c>
      <c r="K10" s="1">
        <v>12026</v>
      </c>
      <c r="L10" s="1" t="s">
        <v>199</v>
      </c>
      <c r="M10" s="1" t="s">
        <v>196</v>
      </c>
      <c r="N10" s="1" t="s">
        <v>15</v>
      </c>
      <c r="O10" s="1" t="s">
        <v>14</v>
      </c>
      <c r="P10" s="1" t="s">
        <v>10</v>
      </c>
      <c r="Q10" s="3">
        <v>75000000</v>
      </c>
      <c r="R10" s="3"/>
      <c r="S10" s="3">
        <f t="shared" si="0"/>
        <v>75000000</v>
      </c>
      <c r="T10" s="3"/>
      <c r="U10" s="3">
        <f t="shared" si="1"/>
        <v>225000000</v>
      </c>
      <c r="V10" s="3">
        <f>42448934.88+45766461+12640194+31026567+8664760.88+32391371+10722468+25434366+15152830</f>
        <v>224247952.75999999</v>
      </c>
      <c r="W10" s="3">
        <f t="shared" si="3"/>
        <v>752047.24000000954</v>
      </c>
      <c r="X10" s="1"/>
      <c r="Y10" s="3"/>
      <c r="Z10" s="1"/>
      <c r="AA10" s="3"/>
      <c r="AB10" s="5">
        <v>46083</v>
      </c>
      <c r="AC10" s="5">
        <v>46203</v>
      </c>
      <c r="AD10" s="18">
        <f t="shared" si="2"/>
        <v>0.99665756782222215</v>
      </c>
    </row>
    <row r="11" spans="1:30" ht="60" x14ac:dyDescent="0.25">
      <c r="A11" s="6" t="s">
        <v>55</v>
      </c>
      <c r="B11" s="2">
        <v>46066</v>
      </c>
      <c r="C11" s="1" t="s">
        <v>195</v>
      </c>
      <c r="D11" s="6" t="s">
        <v>38</v>
      </c>
      <c r="E11" s="6" t="s">
        <v>19</v>
      </c>
      <c r="F11" s="6" t="s">
        <v>5</v>
      </c>
      <c r="G11" s="6" t="s">
        <v>54</v>
      </c>
      <c r="H11" s="6" t="s">
        <v>6</v>
      </c>
      <c r="I11" s="8">
        <v>100000000</v>
      </c>
      <c r="J11" s="6">
        <v>1926</v>
      </c>
      <c r="K11" s="6">
        <v>7726</v>
      </c>
      <c r="L11" s="1" t="s">
        <v>201</v>
      </c>
      <c r="M11" s="1" t="s">
        <v>197</v>
      </c>
      <c r="N11" s="1" t="s">
        <v>20</v>
      </c>
      <c r="O11" s="1" t="s">
        <v>39</v>
      </c>
      <c r="P11" s="1" t="s">
        <v>12</v>
      </c>
      <c r="Q11" s="3"/>
      <c r="R11" s="3"/>
      <c r="S11" s="3">
        <f t="shared" si="0"/>
        <v>0</v>
      </c>
      <c r="T11" s="3"/>
      <c r="U11" s="3">
        <f t="shared" si="1"/>
        <v>100000000</v>
      </c>
      <c r="V11" s="3">
        <f>1459500+3330000+6050600+540000+6015300+999000+6510600+9688500+5776600+5728000+14056800+3948900+6164300+4880300+7670900</f>
        <v>82819300</v>
      </c>
      <c r="W11" s="3">
        <f t="shared" si="3"/>
        <v>17180700</v>
      </c>
      <c r="X11" s="7">
        <v>46234</v>
      </c>
      <c r="Y11" s="3"/>
      <c r="Z11" s="6"/>
      <c r="AA11" s="3"/>
      <c r="AB11" s="5">
        <v>46070</v>
      </c>
      <c r="AC11" s="5">
        <v>46203</v>
      </c>
      <c r="AD11" s="18">
        <f t="shared" si="2"/>
        <v>0.82819299999999996</v>
      </c>
    </row>
    <row r="12" spans="1:30" ht="60" x14ac:dyDescent="0.25">
      <c r="A12" s="6" t="s">
        <v>51</v>
      </c>
      <c r="B12" s="2">
        <v>46065</v>
      </c>
      <c r="C12" s="1" t="s">
        <v>195</v>
      </c>
      <c r="D12" s="6" t="s">
        <v>38</v>
      </c>
      <c r="E12" s="6" t="s">
        <v>56</v>
      </c>
      <c r="F12" s="6" t="s">
        <v>5</v>
      </c>
      <c r="G12" s="6" t="s">
        <v>55</v>
      </c>
      <c r="H12" s="6" t="s">
        <v>6</v>
      </c>
      <c r="I12" s="8">
        <v>100000000</v>
      </c>
      <c r="J12" s="6">
        <v>1826</v>
      </c>
      <c r="K12" s="6">
        <v>7626</v>
      </c>
      <c r="L12" s="6" t="s">
        <v>201</v>
      </c>
      <c r="M12" s="1" t="s">
        <v>197</v>
      </c>
      <c r="N12" s="6" t="s">
        <v>9</v>
      </c>
      <c r="O12" s="6" t="s">
        <v>8</v>
      </c>
      <c r="P12" s="6" t="s">
        <v>18</v>
      </c>
      <c r="Q12" s="3"/>
      <c r="R12" s="3"/>
      <c r="S12" s="3">
        <f t="shared" si="0"/>
        <v>0</v>
      </c>
      <c r="T12" s="3"/>
      <c r="U12" s="3">
        <f t="shared" si="1"/>
        <v>100000000</v>
      </c>
      <c r="V12" s="3">
        <f>14540160+5599680+5451402+2459660+10682080+4219764+3537150+5647312+1703216+5011800+7776024+2471496+4726532+3906024+2746478+228360</f>
        <v>80707138</v>
      </c>
      <c r="W12" s="3">
        <f t="shared" si="3"/>
        <v>19292862</v>
      </c>
      <c r="X12" s="6"/>
      <c r="Y12" s="3"/>
      <c r="Z12" s="6"/>
      <c r="AA12" s="3"/>
      <c r="AB12" s="5">
        <v>46069</v>
      </c>
      <c r="AC12" s="5">
        <v>46203</v>
      </c>
      <c r="AD12" s="18">
        <f t="shared" si="2"/>
        <v>0.80707138</v>
      </c>
    </row>
    <row r="13" spans="1:30" s="23" customFormat="1" ht="45" x14ac:dyDescent="0.25">
      <c r="A13" s="19"/>
      <c r="B13" s="21"/>
      <c r="C13" s="19" t="s">
        <v>195</v>
      </c>
      <c r="D13" s="19" t="s">
        <v>40</v>
      </c>
      <c r="E13" s="19" t="s">
        <v>58</v>
      </c>
      <c r="F13" s="19" t="s">
        <v>5</v>
      </c>
      <c r="G13" s="19" t="s">
        <v>57</v>
      </c>
      <c r="H13" s="19" t="s">
        <v>30</v>
      </c>
      <c r="I13" s="20">
        <v>62000000</v>
      </c>
      <c r="J13" s="19"/>
      <c r="K13" s="19"/>
      <c r="L13" s="19"/>
      <c r="M13" s="9"/>
      <c r="N13" s="19"/>
      <c r="O13" s="19"/>
      <c r="P13" s="19"/>
      <c r="Q13" s="20"/>
      <c r="R13" s="20"/>
      <c r="S13" s="20">
        <f t="shared" si="0"/>
        <v>0</v>
      </c>
      <c r="T13" s="20"/>
      <c r="U13" s="20">
        <f t="shared" si="1"/>
        <v>62000000</v>
      </c>
      <c r="V13" s="20"/>
      <c r="W13" s="20">
        <f t="shared" si="3"/>
        <v>62000000</v>
      </c>
      <c r="X13" s="19"/>
      <c r="Y13" s="20"/>
      <c r="Z13" s="19"/>
      <c r="AA13" s="20"/>
      <c r="AB13" s="21"/>
      <c r="AC13" s="21"/>
      <c r="AD13" s="22">
        <f t="shared" si="2"/>
        <v>0</v>
      </c>
    </row>
    <row r="14" spans="1:30" ht="90" x14ac:dyDescent="0.25">
      <c r="A14" s="6" t="s">
        <v>70</v>
      </c>
      <c r="B14" s="2">
        <v>46091</v>
      </c>
      <c r="C14" s="1" t="s">
        <v>195</v>
      </c>
      <c r="D14" s="1" t="s">
        <v>40</v>
      </c>
      <c r="E14" s="1" t="s">
        <v>60</v>
      </c>
      <c r="F14" s="1" t="s">
        <v>5</v>
      </c>
      <c r="G14" s="1" t="s">
        <v>59</v>
      </c>
      <c r="H14" s="1" t="s">
        <v>22</v>
      </c>
      <c r="I14" s="8">
        <v>64000000</v>
      </c>
      <c r="J14" s="6">
        <v>3126</v>
      </c>
      <c r="K14" s="6">
        <v>13226</v>
      </c>
      <c r="L14" s="6" t="s">
        <v>201</v>
      </c>
      <c r="M14" s="1" t="s">
        <v>197</v>
      </c>
      <c r="N14" s="6" t="s">
        <v>80</v>
      </c>
      <c r="O14" s="6" t="s">
        <v>79</v>
      </c>
      <c r="P14" s="6" t="s">
        <v>28</v>
      </c>
      <c r="Q14" s="3"/>
      <c r="R14" s="3"/>
      <c r="S14" s="3">
        <f t="shared" si="0"/>
        <v>0</v>
      </c>
      <c r="T14" s="3"/>
      <c r="U14" s="3">
        <f t="shared" si="1"/>
        <v>64000000</v>
      </c>
      <c r="V14" s="3">
        <f>5616800+7044800+8615600+10710000+8829800+5497800</f>
        <v>46314800</v>
      </c>
      <c r="W14" s="3">
        <f t="shared" si="3"/>
        <v>17685200</v>
      </c>
      <c r="X14" s="6"/>
      <c r="Y14" s="3"/>
      <c r="Z14" s="6"/>
      <c r="AA14" s="3"/>
      <c r="AB14" s="5">
        <v>46093</v>
      </c>
      <c r="AC14" s="5">
        <v>46387</v>
      </c>
      <c r="AD14" s="18">
        <f t="shared" si="2"/>
        <v>0.72366874999999997</v>
      </c>
    </row>
    <row r="15" spans="1:30" s="23" customFormat="1" ht="90" x14ac:dyDescent="0.25">
      <c r="A15" s="19"/>
      <c r="B15" s="21"/>
      <c r="C15" s="19" t="s">
        <v>195</v>
      </c>
      <c r="D15" s="19" t="s">
        <v>40</v>
      </c>
      <c r="E15" s="19" t="s">
        <v>69</v>
      </c>
      <c r="F15" s="19" t="s">
        <v>5</v>
      </c>
      <c r="G15" s="19" t="s">
        <v>68</v>
      </c>
      <c r="H15" s="19" t="s">
        <v>6</v>
      </c>
      <c r="I15" s="20">
        <v>59700000</v>
      </c>
      <c r="J15" s="19">
        <v>3226</v>
      </c>
      <c r="K15" s="19"/>
      <c r="L15" s="19"/>
      <c r="M15" s="9"/>
      <c r="N15" s="19"/>
      <c r="O15" s="19"/>
      <c r="P15" s="19"/>
      <c r="Q15" s="20"/>
      <c r="R15" s="20"/>
      <c r="S15" s="20">
        <f t="shared" si="0"/>
        <v>0</v>
      </c>
      <c r="T15" s="20"/>
      <c r="U15" s="20">
        <f t="shared" si="1"/>
        <v>59700000</v>
      </c>
      <c r="V15" s="20"/>
      <c r="W15" s="20">
        <f t="shared" si="3"/>
        <v>59700000</v>
      </c>
      <c r="X15" s="19"/>
      <c r="Y15" s="20"/>
      <c r="Z15" s="19"/>
      <c r="AA15" s="20"/>
      <c r="AB15" s="21"/>
      <c r="AC15" s="21"/>
      <c r="AD15" s="22">
        <f t="shared" si="2"/>
        <v>0</v>
      </c>
    </row>
    <row r="16" spans="1:30" ht="45" x14ac:dyDescent="0.25">
      <c r="A16" s="1" t="s">
        <v>81</v>
      </c>
      <c r="B16" s="2">
        <v>46107</v>
      </c>
      <c r="C16" s="1" t="s">
        <v>195</v>
      </c>
      <c r="D16" s="1" t="s">
        <v>38</v>
      </c>
      <c r="E16" s="1" t="s">
        <v>43</v>
      </c>
      <c r="F16" s="1" t="s">
        <v>5</v>
      </c>
      <c r="G16" s="1" t="s">
        <v>62</v>
      </c>
      <c r="H16" s="1" t="s">
        <v>6</v>
      </c>
      <c r="I16" s="3">
        <v>500000000</v>
      </c>
      <c r="J16" s="1">
        <v>926</v>
      </c>
      <c r="K16" s="1">
        <v>17426</v>
      </c>
      <c r="L16" s="1" t="s">
        <v>199</v>
      </c>
      <c r="M16" s="1" t="s">
        <v>196</v>
      </c>
      <c r="N16" s="1" t="s">
        <v>83</v>
      </c>
      <c r="O16" s="1" t="s">
        <v>82</v>
      </c>
      <c r="P16" s="1" t="s">
        <v>10</v>
      </c>
      <c r="Q16" s="3"/>
      <c r="R16" s="3"/>
      <c r="S16" s="3">
        <f t="shared" si="0"/>
        <v>0</v>
      </c>
      <c r="T16" s="3"/>
      <c r="U16" s="3">
        <f t="shared" si="1"/>
        <v>500000000</v>
      </c>
      <c r="V16" s="3">
        <f>23617500+8018200+17484000+3548500+9259000+2162000+13456100+5170000+4512000</f>
        <v>87227300</v>
      </c>
      <c r="W16" s="3">
        <f t="shared" si="3"/>
        <v>412772700</v>
      </c>
      <c r="X16" s="1"/>
      <c r="Y16" s="3"/>
      <c r="Z16" s="1"/>
      <c r="AA16" s="3"/>
      <c r="AB16" s="5">
        <v>46112</v>
      </c>
      <c r="AC16" s="5">
        <v>46387</v>
      </c>
      <c r="AD16" s="18">
        <f t="shared" si="2"/>
        <v>0.17445459999999999</v>
      </c>
    </row>
    <row r="17" spans="1:30" ht="45" x14ac:dyDescent="0.25">
      <c r="A17" s="9" t="s">
        <v>84</v>
      </c>
      <c r="B17" s="2">
        <v>46098</v>
      </c>
      <c r="C17" s="1" t="s">
        <v>195</v>
      </c>
      <c r="D17" s="9" t="s">
        <v>40</v>
      </c>
      <c r="E17" s="9" t="s">
        <v>58</v>
      </c>
      <c r="F17" s="9" t="s">
        <v>5</v>
      </c>
      <c r="G17" s="9" t="s">
        <v>61</v>
      </c>
      <c r="H17" s="9" t="s">
        <v>30</v>
      </c>
      <c r="I17" s="14">
        <v>62000000</v>
      </c>
      <c r="J17" s="9">
        <v>4226</v>
      </c>
      <c r="K17" s="9">
        <v>15626</v>
      </c>
      <c r="L17" s="9" t="s">
        <v>199</v>
      </c>
      <c r="M17" s="1" t="s">
        <v>196</v>
      </c>
      <c r="N17" s="9">
        <v>901902602</v>
      </c>
      <c r="O17" s="9" t="s">
        <v>85</v>
      </c>
      <c r="P17" s="9" t="s">
        <v>28</v>
      </c>
      <c r="Q17" s="3"/>
      <c r="R17" s="3"/>
      <c r="S17" s="3">
        <f t="shared" si="0"/>
        <v>0</v>
      </c>
      <c r="T17" s="3"/>
      <c r="U17" s="3">
        <f t="shared" si="1"/>
        <v>62000000</v>
      </c>
      <c r="V17" s="3">
        <f>9004767.24+5776353.9+5776353+5776353.9</f>
        <v>26333828.039999999</v>
      </c>
      <c r="W17" s="3">
        <f t="shared" si="3"/>
        <v>35666171.960000001</v>
      </c>
      <c r="X17" s="9"/>
      <c r="Y17" s="3"/>
      <c r="Z17" s="9"/>
      <c r="AA17" s="3"/>
      <c r="AB17" s="5">
        <v>46100</v>
      </c>
      <c r="AC17" s="5">
        <v>46370</v>
      </c>
      <c r="AD17" s="18">
        <f t="shared" si="2"/>
        <v>0.42473916193548383</v>
      </c>
    </row>
    <row r="18" spans="1:30" ht="75" x14ac:dyDescent="0.25">
      <c r="A18" s="1" t="s">
        <v>72</v>
      </c>
      <c r="B18" s="2">
        <v>46093</v>
      </c>
      <c r="C18" s="1" t="s">
        <v>195</v>
      </c>
      <c r="D18" s="6" t="s">
        <v>24</v>
      </c>
      <c r="E18" s="6" t="s">
        <v>71</v>
      </c>
      <c r="F18" s="1" t="s">
        <v>5</v>
      </c>
      <c r="G18" s="6" t="s">
        <v>67</v>
      </c>
      <c r="H18" s="1" t="s">
        <v>6</v>
      </c>
      <c r="I18" s="8">
        <v>11740000</v>
      </c>
      <c r="J18" s="6">
        <v>3526</v>
      </c>
      <c r="K18" s="6">
        <v>13626</v>
      </c>
      <c r="L18" s="1" t="s">
        <v>199</v>
      </c>
      <c r="M18" s="1" t="s">
        <v>196</v>
      </c>
      <c r="N18" s="1" t="s">
        <v>87</v>
      </c>
      <c r="O18" s="1" t="s">
        <v>86</v>
      </c>
      <c r="P18" s="6" t="s">
        <v>88</v>
      </c>
      <c r="Q18" s="3"/>
      <c r="R18" s="3"/>
      <c r="S18" s="3">
        <f t="shared" si="0"/>
        <v>0</v>
      </c>
      <c r="T18" s="3"/>
      <c r="U18" s="3">
        <f t="shared" si="1"/>
        <v>11740000</v>
      </c>
      <c r="V18" s="3">
        <f>4268706+7471287</f>
        <v>11739993</v>
      </c>
      <c r="W18" s="3">
        <f t="shared" si="3"/>
        <v>7</v>
      </c>
      <c r="X18" s="6"/>
      <c r="Y18" s="3"/>
      <c r="Z18" s="6"/>
      <c r="AA18" s="3"/>
      <c r="AB18" s="5">
        <v>46100</v>
      </c>
      <c r="AC18" s="5">
        <v>46279</v>
      </c>
      <c r="AD18" s="18">
        <f t="shared" si="2"/>
        <v>0.99999940374787055</v>
      </c>
    </row>
    <row r="19" spans="1:30" ht="60" x14ac:dyDescent="0.25">
      <c r="A19" s="6" t="s">
        <v>76</v>
      </c>
      <c r="B19" s="2">
        <v>46094</v>
      </c>
      <c r="C19" s="1" t="s">
        <v>195</v>
      </c>
      <c r="D19" s="6" t="s">
        <v>24</v>
      </c>
      <c r="E19" s="6" t="s">
        <v>73</v>
      </c>
      <c r="F19" s="1" t="s">
        <v>5</v>
      </c>
      <c r="G19" s="6" t="s">
        <v>70</v>
      </c>
      <c r="H19" s="1" t="s">
        <v>6</v>
      </c>
      <c r="I19" s="8">
        <v>46700000</v>
      </c>
      <c r="J19" s="6">
        <v>3626</v>
      </c>
      <c r="K19" s="6">
        <v>13726</v>
      </c>
      <c r="L19" s="1" t="s">
        <v>200</v>
      </c>
      <c r="M19" s="1" t="s">
        <v>197</v>
      </c>
      <c r="N19" s="1" t="s">
        <v>90</v>
      </c>
      <c r="O19" s="1" t="s">
        <v>89</v>
      </c>
      <c r="P19" s="1" t="s">
        <v>28</v>
      </c>
      <c r="Q19" s="3">
        <v>14280000</v>
      </c>
      <c r="R19" s="3"/>
      <c r="S19" s="3">
        <f t="shared" si="0"/>
        <v>14280000</v>
      </c>
      <c r="T19" s="3"/>
      <c r="U19" s="3">
        <f t="shared" si="1"/>
        <v>60980000</v>
      </c>
      <c r="V19" s="3">
        <f>7634941+9676555+4600000+38828131</f>
        <v>60739627</v>
      </c>
      <c r="W19" s="3">
        <f t="shared" si="3"/>
        <v>240373</v>
      </c>
      <c r="X19" s="6"/>
      <c r="Y19" s="3"/>
      <c r="Z19" s="6"/>
      <c r="AA19" s="3"/>
      <c r="AB19" s="5">
        <v>46100</v>
      </c>
      <c r="AC19" s="5">
        <v>46314</v>
      </c>
      <c r="AD19" s="18">
        <f t="shared" si="2"/>
        <v>0.99605816661200397</v>
      </c>
    </row>
    <row r="20" spans="1:30" ht="90" x14ac:dyDescent="0.25">
      <c r="A20" s="6" t="s">
        <v>91</v>
      </c>
      <c r="B20" s="2">
        <v>46100</v>
      </c>
      <c r="C20" s="1" t="s">
        <v>195</v>
      </c>
      <c r="D20" s="6" t="s">
        <v>75</v>
      </c>
      <c r="E20" s="6" t="s">
        <v>74</v>
      </c>
      <c r="F20" s="1" t="s">
        <v>5</v>
      </c>
      <c r="G20" s="6" t="s">
        <v>72</v>
      </c>
      <c r="H20" s="1" t="s">
        <v>22</v>
      </c>
      <c r="I20" s="8">
        <v>12100000</v>
      </c>
      <c r="J20" s="6">
        <v>3826</v>
      </c>
      <c r="K20" s="6">
        <v>16326</v>
      </c>
      <c r="L20" s="1" t="s">
        <v>199</v>
      </c>
      <c r="M20" s="1" t="s">
        <v>196</v>
      </c>
      <c r="N20" s="1" t="s">
        <v>36</v>
      </c>
      <c r="O20" s="1" t="s">
        <v>35</v>
      </c>
      <c r="P20" s="6" t="s">
        <v>88</v>
      </c>
      <c r="Q20" s="3"/>
      <c r="R20" s="3"/>
      <c r="S20" s="3">
        <f t="shared" si="0"/>
        <v>0</v>
      </c>
      <c r="T20" s="3"/>
      <c r="U20" s="3">
        <f t="shared" si="1"/>
        <v>12100000</v>
      </c>
      <c r="V20" s="3">
        <v>5126502</v>
      </c>
      <c r="W20" s="3">
        <f t="shared" si="3"/>
        <v>6973498</v>
      </c>
      <c r="X20" s="6"/>
      <c r="Y20" s="3"/>
      <c r="Z20" s="6"/>
      <c r="AA20" s="3"/>
      <c r="AB20" s="5">
        <v>46107</v>
      </c>
      <c r="AC20" s="5">
        <v>46346</v>
      </c>
      <c r="AD20" s="18">
        <f t="shared" si="2"/>
        <v>0.42367785123966945</v>
      </c>
    </row>
    <row r="21" spans="1:30" ht="90" x14ac:dyDescent="0.25">
      <c r="A21" s="1" t="s">
        <v>77</v>
      </c>
      <c r="B21" s="2">
        <v>46098</v>
      </c>
      <c r="C21" s="1" t="s">
        <v>195</v>
      </c>
      <c r="D21" s="1" t="s">
        <v>40</v>
      </c>
      <c r="E21" s="1" t="s">
        <v>69</v>
      </c>
      <c r="F21" s="1" t="s">
        <v>5</v>
      </c>
      <c r="G21" s="1" t="s">
        <v>76</v>
      </c>
      <c r="H21" s="1" t="s">
        <v>6</v>
      </c>
      <c r="I21" s="3">
        <v>59700000</v>
      </c>
      <c r="J21" s="1">
        <v>3226</v>
      </c>
      <c r="K21" s="1">
        <v>15526</v>
      </c>
      <c r="L21" s="1" t="s">
        <v>199</v>
      </c>
      <c r="M21" s="1" t="s">
        <v>196</v>
      </c>
      <c r="N21" s="1" t="s">
        <v>29</v>
      </c>
      <c r="O21" s="1" t="s">
        <v>92</v>
      </c>
      <c r="P21" s="1" t="s">
        <v>28</v>
      </c>
      <c r="Q21" s="3"/>
      <c r="R21" s="3"/>
      <c r="S21" s="3">
        <f t="shared" si="0"/>
        <v>0</v>
      </c>
      <c r="T21" s="3"/>
      <c r="U21" s="3">
        <f t="shared" si="1"/>
        <v>59700000</v>
      </c>
      <c r="V21" s="3">
        <f>16607640+16658691+11753392</f>
        <v>45019723</v>
      </c>
      <c r="W21" s="3">
        <f t="shared" si="3"/>
        <v>14680277</v>
      </c>
      <c r="X21" s="1"/>
      <c r="Y21" s="3"/>
      <c r="Z21" s="1"/>
      <c r="AA21" s="3"/>
      <c r="AB21" s="5">
        <v>46101</v>
      </c>
      <c r="AC21" s="5">
        <v>46308</v>
      </c>
      <c r="AD21" s="18">
        <f t="shared" si="2"/>
        <v>0.75409921273031821</v>
      </c>
    </row>
    <row r="22" spans="1:30" ht="90" x14ac:dyDescent="0.25">
      <c r="A22" s="1" t="s">
        <v>93</v>
      </c>
      <c r="B22" s="2">
        <v>46125</v>
      </c>
      <c r="C22" s="1" t="s">
        <v>195</v>
      </c>
      <c r="D22" s="1" t="s">
        <v>78</v>
      </c>
      <c r="E22" s="1" t="s">
        <v>25</v>
      </c>
      <c r="F22" s="1" t="s">
        <v>5</v>
      </c>
      <c r="G22" s="1" t="s">
        <v>77</v>
      </c>
      <c r="H22" s="1" t="s">
        <v>22</v>
      </c>
      <c r="I22" s="3">
        <v>267944418</v>
      </c>
      <c r="J22" s="1">
        <v>3926</v>
      </c>
      <c r="K22" s="1">
        <v>18526</v>
      </c>
      <c r="L22" s="1" t="s">
        <v>199</v>
      </c>
      <c r="M22" s="1" t="s">
        <v>196</v>
      </c>
      <c r="N22" s="1" t="s">
        <v>27</v>
      </c>
      <c r="O22" s="1" t="s">
        <v>26</v>
      </c>
      <c r="P22" s="6" t="s">
        <v>37</v>
      </c>
      <c r="Q22" s="3"/>
      <c r="R22" s="3"/>
      <c r="S22" s="3">
        <f t="shared" si="0"/>
        <v>0</v>
      </c>
      <c r="T22" s="3"/>
      <c r="U22" s="3">
        <f t="shared" si="1"/>
        <v>267944418</v>
      </c>
      <c r="V22" s="3">
        <f>14963125+29926250+29926250+30759394+31273982</f>
        <v>136849001</v>
      </c>
      <c r="W22" s="3">
        <f t="shared" si="3"/>
        <v>131095417</v>
      </c>
      <c r="X22" s="1"/>
      <c r="Y22" s="3"/>
      <c r="Z22" s="1"/>
      <c r="AA22" s="3"/>
      <c r="AB22" s="5">
        <v>46127</v>
      </c>
      <c r="AC22" s="5">
        <v>46387</v>
      </c>
      <c r="AD22" s="18">
        <f t="shared" si="2"/>
        <v>0.51073652521471824</v>
      </c>
    </row>
    <row r="23" spans="1:30" ht="75" x14ac:dyDescent="0.25">
      <c r="A23" s="1" t="s">
        <v>98</v>
      </c>
      <c r="B23" s="2">
        <v>46139</v>
      </c>
      <c r="C23" s="1" t="s">
        <v>195</v>
      </c>
      <c r="D23" s="1" t="s">
        <v>94</v>
      </c>
      <c r="E23" s="1" t="s">
        <v>31</v>
      </c>
      <c r="F23" s="1" t="s">
        <v>5</v>
      </c>
      <c r="G23" s="1" t="s">
        <v>91</v>
      </c>
      <c r="H23" s="1" t="s">
        <v>22</v>
      </c>
      <c r="I23" s="3">
        <v>36783000</v>
      </c>
      <c r="J23" s="1">
        <v>4726</v>
      </c>
      <c r="K23" s="1">
        <v>22226</v>
      </c>
      <c r="L23" s="1" t="s">
        <v>200</v>
      </c>
      <c r="M23" s="1" t="s">
        <v>197</v>
      </c>
      <c r="N23" s="1" t="s">
        <v>9</v>
      </c>
      <c r="O23" s="1" t="s">
        <v>99</v>
      </c>
      <c r="P23" s="6" t="s">
        <v>37</v>
      </c>
      <c r="Q23" s="3"/>
      <c r="R23" s="3"/>
      <c r="S23" s="3">
        <f t="shared" si="0"/>
        <v>0</v>
      </c>
      <c r="T23" s="3"/>
      <c r="U23" s="3">
        <f t="shared" si="1"/>
        <v>36783000</v>
      </c>
      <c r="V23" s="3">
        <f>5481210+2976160+2790150</f>
        <v>11247520</v>
      </c>
      <c r="W23" s="3">
        <f t="shared" si="3"/>
        <v>25535480</v>
      </c>
      <c r="X23" s="1"/>
      <c r="Y23" s="3"/>
      <c r="Z23" s="1"/>
      <c r="AA23" s="3"/>
      <c r="AB23" s="5">
        <v>46147</v>
      </c>
      <c r="AC23" s="5">
        <v>46372</v>
      </c>
      <c r="AD23" s="18">
        <f t="shared" si="2"/>
        <v>0.30578038767909088</v>
      </c>
    </row>
    <row r="24" spans="1:30" ht="60" x14ac:dyDescent="0.25">
      <c r="A24" s="1" t="s">
        <v>97</v>
      </c>
      <c r="B24" s="2">
        <v>46133</v>
      </c>
      <c r="C24" s="1" t="s">
        <v>195</v>
      </c>
      <c r="D24" s="1" t="s">
        <v>24</v>
      </c>
      <c r="E24" s="1" t="s">
        <v>95</v>
      </c>
      <c r="F24" s="1" t="s">
        <v>5</v>
      </c>
      <c r="G24" s="1" t="s">
        <v>81</v>
      </c>
      <c r="H24" s="1" t="s">
        <v>6</v>
      </c>
      <c r="I24" s="3">
        <v>28716198</v>
      </c>
      <c r="J24" s="1">
        <v>5026</v>
      </c>
      <c r="K24" s="1">
        <v>21926</v>
      </c>
      <c r="L24" s="1" t="s">
        <v>199</v>
      </c>
      <c r="M24" s="1" t="s">
        <v>196</v>
      </c>
      <c r="N24" s="1">
        <v>830001338</v>
      </c>
      <c r="O24" s="1" t="s">
        <v>96</v>
      </c>
      <c r="P24" s="1" t="s">
        <v>108</v>
      </c>
      <c r="Q24" s="3"/>
      <c r="R24" s="3"/>
      <c r="S24" s="3">
        <f t="shared" si="0"/>
        <v>0</v>
      </c>
      <c r="T24" s="3"/>
      <c r="U24" s="3">
        <f t="shared" si="1"/>
        <v>28716198</v>
      </c>
      <c r="V24" s="3">
        <v>28716198</v>
      </c>
      <c r="W24" s="3">
        <f t="shared" si="3"/>
        <v>0</v>
      </c>
      <c r="X24" s="1"/>
      <c r="Y24" s="3"/>
      <c r="Z24" s="1"/>
      <c r="AA24" s="3"/>
      <c r="AB24" s="5">
        <v>46133</v>
      </c>
      <c r="AC24" s="5">
        <v>46171</v>
      </c>
      <c r="AD24" s="18">
        <f t="shared" si="2"/>
        <v>1</v>
      </c>
    </row>
    <row r="25" spans="1:30" ht="105" x14ac:dyDescent="0.25">
      <c r="A25" s="1" t="s">
        <v>100</v>
      </c>
      <c r="B25" s="2">
        <v>46150</v>
      </c>
      <c r="C25" s="1" t="s">
        <v>195</v>
      </c>
      <c r="D25" s="1" t="s">
        <v>24</v>
      </c>
      <c r="E25" s="1" t="s">
        <v>32</v>
      </c>
      <c r="F25" s="1" t="s">
        <v>5</v>
      </c>
      <c r="G25" s="1" t="s">
        <v>93</v>
      </c>
      <c r="H25" s="1" t="s">
        <v>22</v>
      </c>
      <c r="I25" s="3">
        <v>28200000</v>
      </c>
      <c r="J25" s="1">
        <v>5126</v>
      </c>
      <c r="K25" s="1">
        <v>23526</v>
      </c>
      <c r="L25" s="1" t="s">
        <v>199</v>
      </c>
      <c r="M25" s="1" t="s">
        <v>196</v>
      </c>
      <c r="N25" s="1" t="s">
        <v>107</v>
      </c>
      <c r="O25" s="1" t="s">
        <v>106</v>
      </c>
      <c r="P25" s="6" t="s">
        <v>37</v>
      </c>
      <c r="Q25" s="3"/>
      <c r="R25" s="3"/>
      <c r="S25" s="3">
        <f t="shared" si="0"/>
        <v>0</v>
      </c>
      <c r="T25" s="3"/>
      <c r="U25" s="3">
        <f t="shared" si="1"/>
        <v>28200000</v>
      </c>
      <c r="V25" s="3">
        <v>16835623</v>
      </c>
      <c r="W25" s="3">
        <f t="shared" si="3"/>
        <v>11364377</v>
      </c>
      <c r="X25" s="1"/>
      <c r="Y25" s="3"/>
      <c r="Z25" s="1"/>
      <c r="AA25" s="3"/>
      <c r="AB25" s="5">
        <v>46161</v>
      </c>
      <c r="AC25" s="5">
        <v>46356</v>
      </c>
      <c r="AD25" s="18">
        <f t="shared" si="2"/>
        <v>0.59700790780141844</v>
      </c>
    </row>
    <row r="26" spans="1:30" ht="60" x14ac:dyDescent="0.25">
      <c r="A26" s="1" t="s">
        <v>102</v>
      </c>
      <c r="B26" s="2">
        <v>46178</v>
      </c>
      <c r="C26" s="1" t="s">
        <v>195</v>
      </c>
      <c r="D26" s="1" t="s">
        <v>38</v>
      </c>
      <c r="E26" s="1" t="s">
        <v>33</v>
      </c>
      <c r="F26" s="1" t="s">
        <v>5</v>
      </c>
      <c r="G26" s="1" t="s">
        <v>98</v>
      </c>
      <c r="H26" s="1" t="s">
        <v>6</v>
      </c>
      <c r="I26" s="3">
        <v>200000000</v>
      </c>
      <c r="J26" s="1">
        <v>5926</v>
      </c>
      <c r="K26" s="1">
        <v>29926</v>
      </c>
      <c r="L26" s="1" t="s">
        <v>199</v>
      </c>
      <c r="M26" s="1" t="s">
        <v>196</v>
      </c>
      <c r="N26" s="1" t="s">
        <v>134</v>
      </c>
      <c r="O26" s="1" t="s">
        <v>133</v>
      </c>
      <c r="P26" s="1" t="s">
        <v>135</v>
      </c>
      <c r="Q26" s="3"/>
      <c r="R26" s="3"/>
      <c r="S26" s="3">
        <f t="shared" si="0"/>
        <v>0</v>
      </c>
      <c r="T26" s="3"/>
      <c r="U26" s="3">
        <f t="shared" si="1"/>
        <v>200000000</v>
      </c>
      <c r="V26" s="3"/>
      <c r="W26" s="3">
        <f t="shared" si="3"/>
        <v>200000000</v>
      </c>
      <c r="X26" s="1"/>
      <c r="Y26" s="3"/>
      <c r="Z26" s="1"/>
      <c r="AA26" s="3"/>
      <c r="AB26" s="5">
        <v>46195</v>
      </c>
      <c r="AC26" s="5">
        <v>46381</v>
      </c>
      <c r="AD26" s="18">
        <f t="shared" si="2"/>
        <v>0</v>
      </c>
    </row>
    <row r="27" spans="1:30" ht="75" x14ac:dyDescent="0.25">
      <c r="A27" s="1" t="s">
        <v>101</v>
      </c>
      <c r="B27" s="2">
        <v>46167</v>
      </c>
      <c r="C27" s="1" t="s">
        <v>195</v>
      </c>
      <c r="D27" s="1" t="s">
        <v>24</v>
      </c>
      <c r="E27" s="1" t="s">
        <v>103</v>
      </c>
      <c r="F27" s="1" t="s">
        <v>5</v>
      </c>
      <c r="G27" s="1" t="s">
        <v>100</v>
      </c>
      <c r="H27" s="1" t="s">
        <v>6</v>
      </c>
      <c r="I27" s="3">
        <v>4050000</v>
      </c>
      <c r="J27" s="1">
        <v>5826</v>
      </c>
      <c r="K27" s="1">
        <v>26126</v>
      </c>
      <c r="L27" s="1" t="s">
        <v>199</v>
      </c>
      <c r="M27" s="1" t="s">
        <v>196</v>
      </c>
      <c r="N27" s="1" t="s">
        <v>105</v>
      </c>
      <c r="O27" s="1" t="s">
        <v>104</v>
      </c>
      <c r="P27" s="6" t="s">
        <v>88</v>
      </c>
      <c r="Q27" s="3"/>
      <c r="R27" s="3"/>
      <c r="S27" s="3">
        <f t="shared" si="0"/>
        <v>0</v>
      </c>
      <c r="T27" s="3"/>
      <c r="U27" s="3">
        <f t="shared" si="1"/>
        <v>4050000</v>
      </c>
      <c r="V27" s="3">
        <f>1995366+1685896+368176</f>
        <v>4049438</v>
      </c>
      <c r="W27" s="3">
        <f t="shared" si="3"/>
        <v>562</v>
      </c>
      <c r="X27" s="1"/>
      <c r="Y27" s="3"/>
      <c r="Z27" s="1"/>
      <c r="AA27" s="3"/>
      <c r="AB27" s="5">
        <v>46171</v>
      </c>
      <c r="AC27" s="5">
        <v>46314</v>
      </c>
      <c r="AD27" s="18">
        <f t="shared" si="2"/>
        <v>0.99986123456790121</v>
      </c>
    </row>
    <row r="28" spans="1:30" s="23" customFormat="1" ht="90" x14ac:dyDescent="0.25">
      <c r="A28" s="19"/>
      <c r="B28" s="21"/>
      <c r="C28" s="19" t="s">
        <v>195</v>
      </c>
      <c r="D28" s="19" t="s">
        <v>40</v>
      </c>
      <c r="E28" s="19" t="s">
        <v>112</v>
      </c>
      <c r="F28" s="24" t="s">
        <v>5</v>
      </c>
      <c r="G28" s="19" t="s">
        <v>101</v>
      </c>
      <c r="H28" s="19" t="s">
        <v>22</v>
      </c>
      <c r="I28" s="20">
        <v>9100000</v>
      </c>
      <c r="J28" s="19">
        <v>6126</v>
      </c>
      <c r="K28" s="19"/>
      <c r="L28" s="19"/>
      <c r="M28" s="9"/>
      <c r="N28" s="19"/>
      <c r="O28" s="19"/>
      <c r="P28" s="19"/>
      <c r="Q28" s="20"/>
      <c r="R28" s="20"/>
      <c r="S28" s="20">
        <f t="shared" si="0"/>
        <v>0</v>
      </c>
      <c r="T28" s="20"/>
      <c r="U28" s="20">
        <f t="shared" si="1"/>
        <v>9100000</v>
      </c>
      <c r="V28" s="20"/>
      <c r="W28" s="20">
        <f t="shared" si="3"/>
        <v>9100000</v>
      </c>
      <c r="X28" s="19"/>
      <c r="Y28" s="20"/>
      <c r="Z28" s="19"/>
      <c r="AA28" s="20"/>
      <c r="AB28" s="21"/>
      <c r="AC28" s="21"/>
      <c r="AD28" s="22">
        <f t="shared" si="2"/>
        <v>0</v>
      </c>
    </row>
    <row r="29" spans="1:30" s="23" customFormat="1" ht="90" x14ac:dyDescent="0.25">
      <c r="A29" s="19"/>
      <c r="B29" s="21"/>
      <c r="C29" s="19" t="s">
        <v>195</v>
      </c>
      <c r="D29" s="19" t="s">
        <v>40</v>
      </c>
      <c r="E29" s="19" t="s">
        <v>113</v>
      </c>
      <c r="F29" s="24" t="s">
        <v>5</v>
      </c>
      <c r="G29" s="19" t="s">
        <v>102</v>
      </c>
      <c r="H29" s="19" t="s">
        <v>6</v>
      </c>
      <c r="I29" s="20">
        <v>14200000</v>
      </c>
      <c r="J29" s="19">
        <v>6026</v>
      </c>
      <c r="K29" s="19"/>
      <c r="L29" s="19"/>
      <c r="M29" s="9"/>
      <c r="N29" s="19"/>
      <c r="O29" s="19"/>
      <c r="P29" s="19"/>
      <c r="Q29" s="20"/>
      <c r="R29" s="20"/>
      <c r="S29" s="20">
        <f t="shared" si="0"/>
        <v>0</v>
      </c>
      <c r="T29" s="20"/>
      <c r="U29" s="20">
        <f t="shared" si="1"/>
        <v>14200000</v>
      </c>
      <c r="V29" s="20"/>
      <c r="W29" s="20">
        <f t="shared" si="3"/>
        <v>14200000</v>
      </c>
      <c r="X29" s="19"/>
      <c r="Y29" s="20"/>
      <c r="Z29" s="19"/>
      <c r="AA29" s="20"/>
      <c r="AB29" s="21"/>
      <c r="AC29" s="21"/>
      <c r="AD29" s="22">
        <f t="shared" si="2"/>
        <v>0</v>
      </c>
    </row>
    <row r="30" spans="1:30" ht="45" x14ac:dyDescent="0.25">
      <c r="A30" s="1" t="s">
        <v>111</v>
      </c>
      <c r="B30" s="2">
        <v>46205</v>
      </c>
      <c r="C30" s="1" t="s">
        <v>195</v>
      </c>
      <c r="D30" s="1" t="s">
        <v>38</v>
      </c>
      <c r="E30" s="1" t="s">
        <v>52</v>
      </c>
      <c r="F30" s="10" t="s">
        <v>5</v>
      </c>
      <c r="G30" s="1" t="s">
        <v>109</v>
      </c>
      <c r="H30" s="1" t="s">
        <v>6</v>
      </c>
      <c r="I30" s="3">
        <v>400000000</v>
      </c>
      <c r="J30" s="1">
        <v>7326</v>
      </c>
      <c r="K30" s="1">
        <v>35726</v>
      </c>
      <c r="L30" s="1" t="s">
        <v>199</v>
      </c>
      <c r="M30" s="1" t="s">
        <v>196</v>
      </c>
      <c r="N30" s="1" t="s">
        <v>83</v>
      </c>
      <c r="O30" s="1" t="s">
        <v>138</v>
      </c>
      <c r="P30" s="1" t="s">
        <v>153</v>
      </c>
      <c r="Q30" s="3"/>
      <c r="R30" s="3"/>
      <c r="S30" s="3">
        <f t="shared" si="0"/>
        <v>0</v>
      </c>
      <c r="T30" s="3"/>
      <c r="U30" s="3">
        <f t="shared" si="1"/>
        <v>400000000</v>
      </c>
      <c r="V30" s="3">
        <f>19672560+22067160+18917340+5261980+8939840+10622200</f>
        <v>85481080</v>
      </c>
      <c r="W30" s="3">
        <f t="shared" si="3"/>
        <v>314518920</v>
      </c>
      <c r="X30" s="1"/>
      <c r="Y30" s="3"/>
      <c r="Z30" s="1"/>
      <c r="AA30" s="3"/>
      <c r="AB30" s="5">
        <v>46212</v>
      </c>
      <c r="AC30" s="5">
        <v>46387</v>
      </c>
      <c r="AD30" s="18">
        <f t="shared" si="2"/>
        <v>0.2137027</v>
      </c>
    </row>
    <row r="31" spans="1:30" ht="45" x14ac:dyDescent="0.25">
      <c r="A31" s="1" t="s">
        <v>116</v>
      </c>
      <c r="B31" s="2">
        <v>46212</v>
      </c>
      <c r="C31" s="1" t="s">
        <v>195</v>
      </c>
      <c r="D31" s="1" t="s">
        <v>38</v>
      </c>
      <c r="E31" s="1" t="s">
        <v>21</v>
      </c>
      <c r="F31" s="10" t="s">
        <v>5</v>
      </c>
      <c r="G31" s="1" t="s">
        <v>110</v>
      </c>
      <c r="H31" s="1" t="s">
        <v>6</v>
      </c>
      <c r="I31" s="3">
        <v>200000000</v>
      </c>
      <c r="J31" s="1">
        <v>7426</v>
      </c>
      <c r="K31" s="1">
        <v>36526</v>
      </c>
      <c r="L31" s="1" t="s">
        <v>200</v>
      </c>
      <c r="M31" s="1" t="s">
        <v>197</v>
      </c>
      <c r="N31" s="1" t="s">
        <v>20</v>
      </c>
      <c r="O31" s="1" t="s">
        <v>17</v>
      </c>
      <c r="P31" s="1" t="s">
        <v>139</v>
      </c>
      <c r="Q31" s="3"/>
      <c r="R31" s="3"/>
      <c r="S31" s="3">
        <f t="shared" si="0"/>
        <v>0</v>
      </c>
      <c r="T31" s="3"/>
      <c r="U31" s="3">
        <f t="shared" si="1"/>
        <v>200000000</v>
      </c>
      <c r="V31" s="3">
        <f>4970000+2967800+16095700+38986100+17061300+14583400+3102700</f>
        <v>97767000</v>
      </c>
      <c r="W31" s="3">
        <f t="shared" si="3"/>
        <v>102233000</v>
      </c>
      <c r="X31" s="1"/>
      <c r="Y31" s="3"/>
      <c r="Z31" s="1"/>
      <c r="AA31" s="3"/>
      <c r="AB31" s="5">
        <v>46219</v>
      </c>
      <c r="AC31" s="5">
        <v>46387</v>
      </c>
      <c r="AD31" s="18">
        <f t="shared" si="2"/>
        <v>0.48883500000000002</v>
      </c>
    </row>
    <row r="32" spans="1:30" ht="120" x14ac:dyDescent="0.25">
      <c r="A32" s="1" t="s">
        <v>109</v>
      </c>
      <c r="B32" s="2">
        <v>46184</v>
      </c>
      <c r="C32" s="1" t="s">
        <v>195</v>
      </c>
      <c r="D32" s="1" t="s">
        <v>38</v>
      </c>
      <c r="E32" s="1" t="s">
        <v>114</v>
      </c>
      <c r="F32" s="10" t="s">
        <v>5</v>
      </c>
      <c r="G32" s="1" t="s">
        <v>111</v>
      </c>
      <c r="H32" s="1" t="s">
        <v>22</v>
      </c>
      <c r="I32" s="3">
        <v>87608000</v>
      </c>
      <c r="J32" s="1">
        <v>6426</v>
      </c>
      <c r="K32" s="1">
        <v>30526</v>
      </c>
      <c r="L32" s="1" t="s">
        <v>199</v>
      </c>
      <c r="M32" s="1" t="s">
        <v>196</v>
      </c>
      <c r="N32" s="1" t="s">
        <v>136</v>
      </c>
      <c r="O32" s="1" t="s">
        <v>157</v>
      </c>
      <c r="P32" s="1" t="s">
        <v>137</v>
      </c>
      <c r="Q32" s="3"/>
      <c r="R32" s="3"/>
      <c r="S32" s="3">
        <f t="shared" si="0"/>
        <v>0</v>
      </c>
      <c r="T32" s="3"/>
      <c r="U32" s="3">
        <f t="shared" si="1"/>
        <v>87608000</v>
      </c>
      <c r="V32" s="3">
        <f>18999540+18999540</f>
        <v>37999080</v>
      </c>
      <c r="W32" s="3">
        <f t="shared" si="3"/>
        <v>49608920</v>
      </c>
      <c r="X32" s="1"/>
      <c r="Y32" s="3"/>
      <c r="Z32" s="1"/>
      <c r="AA32" s="3"/>
      <c r="AB32" s="5">
        <v>46195</v>
      </c>
      <c r="AC32" s="5">
        <v>46387</v>
      </c>
      <c r="AD32" s="18">
        <f t="shared" si="2"/>
        <v>0.43373984111040087</v>
      </c>
    </row>
    <row r="33" spans="1:30" ht="90" x14ac:dyDescent="0.25">
      <c r="A33" s="1" t="s">
        <v>110</v>
      </c>
      <c r="B33" s="2">
        <v>46195</v>
      </c>
      <c r="C33" s="1" t="s">
        <v>195</v>
      </c>
      <c r="D33" s="1" t="s">
        <v>24</v>
      </c>
      <c r="E33" s="1" t="s">
        <v>112</v>
      </c>
      <c r="F33" s="10" t="s">
        <v>5</v>
      </c>
      <c r="G33" s="1" t="s">
        <v>115</v>
      </c>
      <c r="H33" s="1" t="s">
        <v>22</v>
      </c>
      <c r="I33" s="3">
        <v>9100000</v>
      </c>
      <c r="J33" s="1">
        <v>6126</v>
      </c>
      <c r="K33" s="1">
        <v>32726</v>
      </c>
      <c r="L33" s="1" t="s">
        <v>200</v>
      </c>
      <c r="M33" s="1" t="s">
        <v>197</v>
      </c>
      <c r="N33" s="1" t="s">
        <v>156</v>
      </c>
      <c r="O33" s="1" t="s">
        <v>155</v>
      </c>
      <c r="P33" s="1" t="s">
        <v>108</v>
      </c>
      <c r="Q33" s="3"/>
      <c r="R33" s="3"/>
      <c r="S33" s="3">
        <f t="shared" si="0"/>
        <v>0</v>
      </c>
      <c r="T33" s="3"/>
      <c r="U33" s="3">
        <f t="shared" si="1"/>
        <v>9100000</v>
      </c>
      <c r="V33" s="3">
        <v>4253000</v>
      </c>
      <c r="W33" s="3">
        <f t="shared" si="3"/>
        <v>4847000</v>
      </c>
      <c r="X33" s="1"/>
      <c r="Y33" s="3"/>
      <c r="Z33" s="1"/>
      <c r="AA33" s="3"/>
      <c r="AB33" s="5">
        <v>46210</v>
      </c>
      <c r="AC33" s="5">
        <v>46339</v>
      </c>
      <c r="AD33" s="18">
        <f t="shared" si="2"/>
        <v>0.46736263736263739</v>
      </c>
    </row>
    <row r="34" spans="1:30" ht="75" x14ac:dyDescent="0.25">
      <c r="A34" s="2" t="s">
        <v>120</v>
      </c>
      <c r="B34" s="1"/>
      <c r="C34" s="1" t="s">
        <v>195</v>
      </c>
      <c r="D34" s="1" t="s">
        <v>38</v>
      </c>
      <c r="E34" s="1" t="s">
        <v>118</v>
      </c>
      <c r="F34" s="10" t="s">
        <v>5</v>
      </c>
      <c r="G34" s="1" t="s">
        <v>116</v>
      </c>
      <c r="H34" s="1" t="s">
        <v>30</v>
      </c>
      <c r="I34" s="3">
        <v>94277088</v>
      </c>
      <c r="J34" s="1">
        <v>7926</v>
      </c>
      <c r="K34" s="1">
        <v>31126</v>
      </c>
      <c r="L34" s="1" t="s">
        <v>199</v>
      </c>
      <c r="M34" s="1" t="s">
        <v>196</v>
      </c>
      <c r="N34" s="1">
        <v>900664206</v>
      </c>
      <c r="O34" s="1" t="s">
        <v>119</v>
      </c>
      <c r="P34" s="1" t="s">
        <v>121</v>
      </c>
      <c r="Q34" s="3"/>
      <c r="R34" s="3"/>
      <c r="S34" s="3">
        <f t="shared" si="0"/>
        <v>0</v>
      </c>
      <c r="T34" s="3"/>
      <c r="U34" s="3">
        <f t="shared" si="1"/>
        <v>94277088</v>
      </c>
      <c r="V34" s="3">
        <v>94217663.980000004</v>
      </c>
      <c r="W34" s="3">
        <f t="shared" si="3"/>
        <v>59424.019999995828</v>
      </c>
      <c r="X34" s="1"/>
      <c r="Y34" s="3"/>
      <c r="Z34" s="1"/>
      <c r="AA34" s="3"/>
      <c r="AB34" s="5">
        <v>46190</v>
      </c>
      <c r="AC34" s="5">
        <v>46234</v>
      </c>
      <c r="AD34" s="18">
        <f t="shared" si="2"/>
        <v>0.99936968757456746</v>
      </c>
    </row>
    <row r="35" spans="1:30" ht="45" x14ac:dyDescent="0.25">
      <c r="A35" s="2" t="s">
        <v>123</v>
      </c>
      <c r="B35" s="1"/>
      <c r="C35" s="1" t="s">
        <v>195</v>
      </c>
      <c r="D35" s="1" t="s">
        <v>38</v>
      </c>
      <c r="E35" s="1" t="s">
        <v>122</v>
      </c>
      <c r="F35" s="10" t="s">
        <v>5</v>
      </c>
      <c r="G35" s="1" t="s">
        <v>117</v>
      </c>
      <c r="H35" s="1" t="s">
        <v>30</v>
      </c>
      <c r="I35" s="3">
        <v>27870480</v>
      </c>
      <c r="J35" s="1">
        <v>8026</v>
      </c>
      <c r="K35" s="1">
        <v>31226</v>
      </c>
      <c r="L35" s="1" t="s">
        <v>199</v>
      </c>
      <c r="M35" s="1" t="s">
        <v>196</v>
      </c>
      <c r="N35" s="1">
        <v>900664206</v>
      </c>
      <c r="O35" s="1" t="s">
        <v>119</v>
      </c>
      <c r="P35" s="1" t="s">
        <v>124</v>
      </c>
      <c r="Q35" s="3"/>
      <c r="R35" s="3"/>
      <c r="S35" s="3">
        <f t="shared" si="0"/>
        <v>0</v>
      </c>
      <c r="T35" s="3"/>
      <c r="U35" s="3">
        <f t="shared" si="1"/>
        <v>27870480</v>
      </c>
      <c r="V35" s="3">
        <v>27870480</v>
      </c>
      <c r="W35" s="3">
        <f t="shared" si="3"/>
        <v>0</v>
      </c>
      <c r="X35" s="1"/>
      <c r="Y35" s="3"/>
      <c r="Z35" s="1"/>
      <c r="AA35" s="3"/>
      <c r="AB35" s="5">
        <v>46190</v>
      </c>
      <c r="AC35" s="5">
        <v>46234</v>
      </c>
      <c r="AD35" s="18">
        <f t="shared" si="2"/>
        <v>1</v>
      </c>
    </row>
    <row r="36" spans="1:30" ht="45" x14ac:dyDescent="0.25">
      <c r="A36" s="2" t="s">
        <v>128</v>
      </c>
      <c r="B36" s="1"/>
      <c r="C36" s="1" t="s">
        <v>195</v>
      </c>
      <c r="D36" s="1" t="s">
        <v>38</v>
      </c>
      <c r="E36" s="1" t="s">
        <v>125</v>
      </c>
      <c r="F36" s="10" t="s">
        <v>5</v>
      </c>
      <c r="G36" s="1" t="s">
        <v>126</v>
      </c>
      <c r="H36" s="1" t="s">
        <v>30</v>
      </c>
      <c r="I36" s="3">
        <v>27735392</v>
      </c>
      <c r="J36" s="1">
        <v>8126</v>
      </c>
      <c r="K36" s="1">
        <v>31326</v>
      </c>
      <c r="L36" s="1" t="s">
        <v>199</v>
      </c>
      <c r="M36" s="1" t="s">
        <v>196</v>
      </c>
      <c r="N36" s="1">
        <v>900040299</v>
      </c>
      <c r="O36" s="1" t="s">
        <v>127</v>
      </c>
      <c r="P36" s="1" t="s">
        <v>124</v>
      </c>
      <c r="Q36" s="3"/>
      <c r="R36" s="3"/>
      <c r="S36" s="3">
        <f t="shared" si="0"/>
        <v>0</v>
      </c>
      <c r="T36" s="3"/>
      <c r="U36" s="3">
        <f t="shared" si="1"/>
        <v>27735392</v>
      </c>
      <c r="V36" s="3">
        <v>27735392</v>
      </c>
      <c r="W36" s="3">
        <f t="shared" si="3"/>
        <v>0</v>
      </c>
      <c r="X36" s="1"/>
      <c r="Y36" s="3"/>
      <c r="Z36" s="1"/>
      <c r="AA36" s="3"/>
      <c r="AB36" s="5">
        <v>46190</v>
      </c>
      <c r="AC36" s="5">
        <v>46234</v>
      </c>
      <c r="AD36" s="18">
        <f t="shared" si="2"/>
        <v>1</v>
      </c>
    </row>
    <row r="37" spans="1:30" ht="60" x14ac:dyDescent="0.25">
      <c r="A37" s="2" t="s">
        <v>115</v>
      </c>
      <c r="B37" s="2">
        <v>46206</v>
      </c>
      <c r="C37" s="1" t="s">
        <v>195</v>
      </c>
      <c r="D37" s="1" t="s">
        <v>24</v>
      </c>
      <c r="E37" s="1" t="s">
        <v>131</v>
      </c>
      <c r="F37" s="10" t="s">
        <v>5</v>
      </c>
      <c r="G37" s="1" t="s">
        <v>129</v>
      </c>
      <c r="H37" s="1" t="s">
        <v>6</v>
      </c>
      <c r="I37" s="3">
        <v>70395000</v>
      </c>
      <c r="J37" s="1">
        <v>7726</v>
      </c>
      <c r="K37" s="1">
        <v>35826</v>
      </c>
      <c r="L37" s="1" t="s">
        <v>199</v>
      </c>
      <c r="M37" s="1" t="s">
        <v>196</v>
      </c>
      <c r="N37" s="1" t="s">
        <v>159</v>
      </c>
      <c r="O37" s="1" t="s">
        <v>158</v>
      </c>
      <c r="P37" s="1" t="s">
        <v>12</v>
      </c>
      <c r="Q37" s="3"/>
      <c r="R37" s="3"/>
      <c r="S37" s="3">
        <f t="shared" si="0"/>
        <v>0</v>
      </c>
      <c r="T37" s="3"/>
      <c r="U37" s="3">
        <f t="shared" si="1"/>
        <v>70395000</v>
      </c>
      <c r="V37" s="3"/>
      <c r="W37" s="3">
        <f t="shared" si="3"/>
        <v>70395000</v>
      </c>
      <c r="X37" s="1"/>
      <c r="Y37" s="3"/>
      <c r="Z37" s="1"/>
      <c r="AA37" s="3"/>
      <c r="AB37" s="5">
        <v>46218</v>
      </c>
      <c r="AC37" s="5">
        <v>46346</v>
      </c>
      <c r="AD37" s="18">
        <f t="shared" si="2"/>
        <v>0</v>
      </c>
    </row>
    <row r="38" spans="1:30" ht="75" x14ac:dyDescent="0.25">
      <c r="A38" s="2" t="s">
        <v>117</v>
      </c>
      <c r="B38" s="2">
        <v>46213</v>
      </c>
      <c r="C38" s="1" t="s">
        <v>195</v>
      </c>
      <c r="D38" s="1" t="s">
        <v>38</v>
      </c>
      <c r="E38" s="1" t="s">
        <v>132</v>
      </c>
      <c r="F38" s="10" t="s">
        <v>5</v>
      </c>
      <c r="G38" s="1" t="s">
        <v>130</v>
      </c>
      <c r="H38" s="1" t="s">
        <v>22</v>
      </c>
      <c r="I38" s="3">
        <v>34250000</v>
      </c>
      <c r="J38" s="1">
        <v>8326</v>
      </c>
      <c r="K38" s="1">
        <v>26826</v>
      </c>
      <c r="L38" s="1" t="s">
        <v>199</v>
      </c>
      <c r="M38" s="1" t="s">
        <v>196</v>
      </c>
      <c r="N38" s="1" t="s">
        <v>161</v>
      </c>
      <c r="O38" s="1" t="s">
        <v>160</v>
      </c>
      <c r="P38" s="1" t="s">
        <v>137</v>
      </c>
      <c r="Q38" s="3"/>
      <c r="R38" s="3"/>
      <c r="S38" s="3">
        <f t="shared" si="0"/>
        <v>0</v>
      </c>
      <c r="T38" s="3"/>
      <c r="U38" s="3">
        <f t="shared" si="1"/>
        <v>34250000</v>
      </c>
      <c r="V38" s="3">
        <v>28758254</v>
      </c>
      <c r="W38" s="3">
        <f t="shared" si="3"/>
        <v>5491746</v>
      </c>
      <c r="X38" s="1"/>
      <c r="Y38" s="3"/>
      <c r="Z38" s="1"/>
      <c r="AA38" s="3"/>
      <c r="AB38" s="5">
        <v>46226</v>
      </c>
      <c r="AC38" s="5">
        <v>46265</v>
      </c>
      <c r="AD38" s="18">
        <f t="shared" si="2"/>
        <v>0.83965705109489053</v>
      </c>
    </row>
    <row r="39" spans="1:30" ht="45" x14ac:dyDescent="0.25">
      <c r="A39" s="12" t="s">
        <v>141</v>
      </c>
      <c r="B39" s="12">
        <v>46239</v>
      </c>
      <c r="C39" s="1" t="s">
        <v>195</v>
      </c>
      <c r="D39" s="1" t="s">
        <v>38</v>
      </c>
      <c r="E39" s="1" t="s">
        <v>53</v>
      </c>
      <c r="F39" s="10" t="s">
        <v>5</v>
      </c>
      <c r="G39" s="1" t="s">
        <v>140</v>
      </c>
      <c r="H39" s="1" t="s">
        <v>6</v>
      </c>
      <c r="I39" s="3">
        <v>250000000</v>
      </c>
      <c r="J39" s="1">
        <v>9326</v>
      </c>
      <c r="K39" s="9">
        <v>43626</v>
      </c>
      <c r="L39" s="9" t="s">
        <v>199</v>
      </c>
      <c r="M39" s="1" t="s">
        <v>196</v>
      </c>
      <c r="N39" s="9" t="s">
        <v>174</v>
      </c>
      <c r="O39" s="9" t="s">
        <v>173</v>
      </c>
      <c r="P39" s="9" t="s">
        <v>162</v>
      </c>
      <c r="Q39" s="3"/>
      <c r="R39" s="3"/>
      <c r="S39" s="3">
        <f t="shared" si="0"/>
        <v>0</v>
      </c>
      <c r="T39" s="3"/>
      <c r="U39" s="3">
        <f t="shared" si="1"/>
        <v>250000000</v>
      </c>
      <c r="V39" s="3">
        <f>14862600+22885000+21675200+3381000</f>
        <v>62803800</v>
      </c>
      <c r="W39" s="3">
        <f t="shared" si="3"/>
        <v>187196200</v>
      </c>
      <c r="X39" s="9"/>
      <c r="Y39" s="3"/>
      <c r="Z39" s="9"/>
      <c r="AA39" s="3"/>
      <c r="AB39" s="5">
        <v>46240</v>
      </c>
      <c r="AC39" s="5">
        <v>46387</v>
      </c>
      <c r="AD39" s="18">
        <f t="shared" si="2"/>
        <v>0.25121520000000003</v>
      </c>
    </row>
    <row r="40" spans="1:30" ht="60" x14ac:dyDescent="0.25">
      <c r="A40" s="2" t="s">
        <v>126</v>
      </c>
      <c r="B40" s="2">
        <v>46220</v>
      </c>
      <c r="C40" s="1" t="s">
        <v>195</v>
      </c>
      <c r="D40" s="1" t="s">
        <v>40</v>
      </c>
      <c r="E40" s="1" t="s">
        <v>143</v>
      </c>
      <c r="F40" s="10" t="s">
        <v>5</v>
      </c>
      <c r="G40" s="1" t="s">
        <v>141</v>
      </c>
      <c r="H40" s="1" t="s">
        <v>22</v>
      </c>
      <c r="I40" s="3">
        <v>2425593</v>
      </c>
      <c r="J40" s="1">
        <v>8426</v>
      </c>
      <c r="K40" s="1">
        <v>38126</v>
      </c>
      <c r="L40" s="1" t="s">
        <v>199</v>
      </c>
      <c r="M40" s="1" t="s">
        <v>196</v>
      </c>
      <c r="N40" s="1" t="s">
        <v>145</v>
      </c>
      <c r="O40" s="1" t="s">
        <v>144</v>
      </c>
      <c r="P40" s="1" t="s">
        <v>37</v>
      </c>
      <c r="Q40" s="3"/>
      <c r="R40" s="3"/>
      <c r="S40" s="3">
        <f t="shared" si="0"/>
        <v>0</v>
      </c>
      <c r="T40" s="3"/>
      <c r="U40" s="3">
        <f t="shared" si="1"/>
        <v>2425593</v>
      </c>
      <c r="V40" s="3">
        <f>562417+562417</f>
        <v>1124834</v>
      </c>
      <c r="W40" s="3">
        <f t="shared" si="3"/>
        <v>1300759</v>
      </c>
      <c r="X40" s="1"/>
      <c r="Y40" s="3"/>
      <c r="Z40" s="1"/>
      <c r="AA40" s="3"/>
      <c r="AB40" s="5">
        <v>46226</v>
      </c>
      <c r="AC40" s="5">
        <v>46367</v>
      </c>
      <c r="AD40" s="18">
        <f t="shared" si="2"/>
        <v>0.46373567206039923</v>
      </c>
    </row>
    <row r="41" spans="1:30" ht="45" x14ac:dyDescent="0.25">
      <c r="A41" s="2" t="s">
        <v>130</v>
      </c>
      <c r="B41" s="2">
        <v>46231</v>
      </c>
      <c r="C41" s="1" t="s">
        <v>195</v>
      </c>
      <c r="D41" s="1" t="s">
        <v>38</v>
      </c>
      <c r="E41" s="1" t="s">
        <v>19</v>
      </c>
      <c r="F41" s="10" t="s">
        <v>5</v>
      </c>
      <c r="G41" s="1" t="s">
        <v>142</v>
      </c>
      <c r="H41" s="1" t="s">
        <v>6</v>
      </c>
      <c r="I41" s="3">
        <v>113000000</v>
      </c>
      <c r="J41" s="1">
        <v>8526</v>
      </c>
      <c r="K41" s="1">
        <v>42326</v>
      </c>
      <c r="L41" s="1" t="s">
        <v>200</v>
      </c>
      <c r="M41" s="1" t="s">
        <v>197</v>
      </c>
      <c r="N41" s="1" t="s">
        <v>20</v>
      </c>
      <c r="O41" s="1" t="s">
        <v>17</v>
      </c>
      <c r="P41" s="1" t="s">
        <v>162</v>
      </c>
      <c r="Q41" s="3"/>
      <c r="R41" s="3"/>
      <c r="S41" s="3">
        <f t="shared" si="0"/>
        <v>0</v>
      </c>
      <c r="T41" s="3"/>
      <c r="U41" s="3">
        <f t="shared" si="1"/>
        <v>113000000</v>
      </c>
      <c r="V41" s="3">
        <f>5603200+5124000+12539200+7684000+5299500+3433500</f>
        <v>39683400</v>
      </c>
      <c r="W41" s="3">
        <f t="shared" si="3"/>
        <v>73316600</v>
      </c>
      <c r="X41" s="1"/>
      <c r="Y41" s="3"/>
      <c r="Z41" s="1"/>
      <c r="AA41" s="3"/>
      <c r="AB41" s="5">
        <v>46237</v>
      </c>
      <c r="AC41" s="5">
        <v>46387</v>
      </c>
      <c r="AD41" s="18">
        <f t="shared" si="2"/>
        <v>0.35118053097345131</v>
      </c>
    </row>
    <row r="42" spans="1:30" ht="90" x14ac:dyDescent="0.25">
      <c r="A42" s="12" t="s">
        <v>129</v>
      </c>
      <c r="B42" s="12">
        <v>46225</v>
      </c>
      <c r="C42" s="1" t="s">
        <v>195</v>
      </c>
      <c r="D42" s="1" t="s">
        <v>38</v>
      </c>
      <c r="E42" s="1" t="s">
        <v>113</v>
      </c>
      <c r="F42" s="10" t="s">
        <v>5</v>
      </c>
      <c r="G42" s="1" t="s">
        <v>147</v>
      </c>
      <c r="H42" s="1" t="s">
        <v>6</v>
      </c>
      <c r="I42" s="3">
        <v>14200000</v>
      </c>
      <c r="J42" s="1">
        <v>6026</v>
      </c>
      <c r="K42" s="1">
        <v>38926</v>
      </c>
      <c r="L42" s="9" t="s">
        <v>200</v>
      </c>
      <c r="M42" s="1" t="s">
        <v>197</v>
      </c>
      <c r="N42" s="1" t="s">
        <v>152</v>
      </c>
      <c r="O42" s="9" t="s">
        <v>17</v>
      </c>
      <c r="P42" s="9" t="s">
        <v>153</v>
      </c>
      <c r="Q42" s="3"/>
      <c r="R42" s="3"/>
      <c r="S42" s="3">
        <f t="shared" si="0"/>
        <v>0</v>
      </c>
      <c r="T42" s="3"/>
      <c r="U42" s="3">
        <f t="shared" si="1"/>
        <v>14200000</v>
      </c>
      <c r="V42" s="3">
        <f>225936+13943800</f>
        <v>14169736</v>
      </c>
      <c r="W42" s="3">
        <f t="shared" si="3"/>
        <v>30264</v>
      </c>
      <c r="X42" s="9"/>
      <c r="Y42" s="3"/>
      <c r="Z42" s="9"/>
      <c r="AA42" s="3"/>
      <c r="AB42" s="5">
        <v>46231</v>
      </c>
      <c r="AC42" s="5">
        <v>46248</v>
      </c>
      <c r="AD42" s="18">
        <f t="shared" si="2"/>
        <v>0.99786873239436624</v>
      </c>
    </row>
    <row r="43" spans="1:30" ht="60" x14ac:dyDescent="0.25">
      <c r="A43" s="12" t="s">
        <v>140</v>
      </c>
      <c r="B43" s="12">
        <v>46232</v>
      </c>
      <c r="C43" s="1" t="s">
        <v>195</v>
      </c>
      <c r="D43" s="1" t="s">
        <v>38</v>
      </c>
      <c r="E43" s="9" t="s">
        <v>56</v>
      </c>
      <c r="F43" s="10" t="s">
        <v>5</v>
      </c>
      <c r="G43" s="9" t="s">
        <v>146</v>
      </c>
      <c r="H43" s="1" t="s">
        <v>6</v>
      </c>
      <c r="I43" s="3">
        <v>75000000</v>
      </c>
      <c r="J43" s="1">
        <v>8926</v>
      </c>
      <c r="K43" s="1">
        <v>42426</v>
      </c>
      <c r="L43" s="9" t="s">
        <v>200</v>
      </c>
      <c r="M43" s="1" t="s">
        <v>197</v>
      </c>
      <c r="N43" s="9" t="s">
        <v>9</v>
      </c>
      <c r="O43" s="9" t="s">
        <v>8</v>
      </c>
      <c r="P43" s="1" t="s">
        <v>162</v>
      </c>
      <c r="Q43" s="3"/>
      <c r="R43" s="3"/>
      <c r="S43" s="3">
        <f t="shared" si="0"/>
        <v>0</v>
      </c>
      <c r="T43" s="3"/>
      <c r="U43" s="3">
        <f t="shared" si="1"/>
        <v>75000000</v>
      </c>
      <c r="V43" s="3">
        <f>3660950+4582120+6259050+4456376+4941524+1559140</f>
        <v>25459160</v>
      </c>
      <c r="W43" s="3">
        <f t="shared" si="3"/>
        <v>49540840</v>
      </c>
      <c r="X43" s="1"/>
      <c r="Y43" s="3"/>
      <c r="Z43" s="1"/>
      <c r="AA43" s="3"/>
      <c r="AB43" s="5">
        <v>46237</v>
      </c>
      <c r="AC43" s="5">
        <v>46387</v>
      </c>
      <c r="AD43" s="18">
        <f t="shared" si="2"/>
        <v>0.33945546666666665</v>
      </c>
    </row>
    <row r="44" spans="1:30" ht="45" x14ac:dyDescent="0.25">
      <c r="A44" s="12" t="s">
        <v>142</v>
      </c>
      <c r="B44" s="12">
        <v>46245</v>
      </c>
      <c r="C44" s="1" t="s">
        <v>195</v>
      </c>
      <c r="D44" s="9" t="s">
        <v>38</v>
      </c>
      <c r="E44" s="9" t="s">
        <v>167</v>
      </c>
      <c r="F44" s="10" t="s">
        <v>5</v>
      </c>
      <c r="G44" s="9" t="s">
        <v>148</v>
      </c>
      <c r="H44" s="9" t="s">
        <v>6</v>
      </c>
      <c r="I44" s="14">
        <v>350000000</v>
      </c>
      <c r="J44" s="9">
        <v>9526</v>
      </c>
      <c r="K44" s="9">
        <v>44526</v>
      </c>
      <c r="L44" s="9" t="s">
        <v>199</v>
      </c>
      <c r="M44" s="1" t="s">
        <v>196</v>
      </c>
      <c r="N44" s="9" t="s">
        <v>169</v>
      </c>
      <c r="O44" s="9" t="s">
        <v>168</v>
      </c>
      <c r="P44" s="9" t="s">
        <v>153</v>
      </c>
      <c r="Q44" s="3"/>
      <c r="R44" s="3"/>
      <c r="S44" s="3">
        <f t="shared" si="0"/>
        <v>0</v>
      </c>
      <c r="T44" s="3"/>
      <c r="U44" s="3">
        <f t="shared" si="1"/>
        <v>350000000</v>
      </c>
      <c r="V44" s="3">
        <f>73700679+32557534.8+28852536.28+11327452.16</f>
        <v>146438202.23999998</v>
      </c>
      <c r="W44" s="3">
        <f t="shared" si="3"/>
        <v>203561797.76000002</v>
      </c>
      <c r="X44" s="9"/>
      <c r="Y44" s="3"/>
      <c r="Z44" s="9"/>
      <c r="AA44" s="3"/>
      <c r="AB44" s="5">
        <v>46252</v>
      </c>
      <c r="AC44" s="5">
        <v>46387</v>
      </c>
      <c r="AD44" s="18">
        <f t="shared" si="2"/>
        <v>0.4183948635428571</v>
      </c>
    </row>
    <row r="45" spans="1:30" ht="45" x14ac:dyDescent="0.25">
      <c r="A45" s="12" t="s">
        <v>147</v>
      </c>
      <c r="B45" s="12">
        <v>46247</v>
      </c>
      <c r="C45" s="1" t="s">
        <v>195</v>
      </c>
      <c r="D45" s="9" t="s">
        <v>38</v>
      </c>
      <c r="E45" s="9" t="s">
        <v>170</v>
      </c>
      <c r="F45" s="10" t="s">
        <v>5</v>
      </c>
      <c r="G45" s="9" t="s">
        <v>149</v>
      </c>
      <c r="H45" s="9" t="s">
        <v>6</v>
      </c>
      <c r="I45" s="14">
        <v>250000000</v>
      </c>
      <c r="J45" s="9">
        <v>9626</v>
      </c>
      <c r="K45" s="9">
        <v>45026</v>
      </c>
      <c r="L45" s="9" t="s">
        <v>200</v>
      </c>
      <c r="M45" s="1" t="s">
        <v>197</v>
      </c>
      <c r="N45" s="9" t="s">
        <v>20</v>
      </c>
      <c r="O45" s="9" t="s">
        <v>17</v>
      </c>
      <c r="P45" s="9" t="s">
        <v>153</v>
      </c>
      <c r="Q45" s="3"/>
      <c r="R45" s="3"/>
      <c r="S45" s="3">
        <f t="shared" si="0"/>
        <v>0</v>
      </c>
      <c r="T45" s="3"/>
      <c r="U45" s="3">
        <f t="shared" si="1"/>
        <v>250000000</v>
      </c>
      <c r="V45" s="3">
        <f>16895050+10376500+14839800+3317250</f>
        <v>45428600</v>
      </c>
      <c r="W45" s="3">
        <f t="shared" si="3"/>
        <v>204571400</v>
      </c>
      <c r="X45" s="9"/>
      <c r="Y45" s="3"/>
      <c r="Z45" s="9"/>
      <c r="AA45" s="3"/>
      <c r="AB45" s="5" t="s">
        <v>171</v>
      </c>
      <c r="AC45" s="5">
        <v>46387</v>
      </c>
      <c r="AD45" s="18">
        <f t="shared" si="2"/>
        <v>0.1817144</v>
      </c>
    </row>
    <row r="46" spans="1:30" ht="45" x14ac:dyDescent="0.25">
      <c r="A46" s="12" t="s">
        <v>146</v>
      </c>
      <c r="B46" s="12">
        <v>46248</v>
      </c>
      <c r="C46" s="1" t="s">
        <v>195</v>
      </c>
      <c r="D46" s="9" t="s">
        <v>38</v>
      </c>
      <c r="E46" s="9" t="s">
        <v>23</v>
      </c>
      <c r="F46" s="10" t="s">
        <v>5</v>
      </c>
      <c r="G46" s="9" t="s">
        <v>150</v>
      </c>
      <c r="H46" s="9" t="s">
        <v>6</v>
      </c>
      <c r="I46" s="14">
        <v>250000000</v>
      </c>
      <c r="J46" s="9">
        <v>9726</v>
      </c>
      <c r="K46" s="9">
        <v>45226</v>
      </c>
      <c r="L46" s="9" t="s">
        <v>200</v>
      </c>
      <c r="M46" s="1" t="s">
        <v>197</v>
      </c>
      <c r="N46" s="9" t="s">
        <v>9</v>
      </c>
      <c r="O46" s="9" t="s">
        <v>172</v>
      </c>
      <c r="P46" s="9" t="s">
        <v>153</v>
      </c>
      <c r="Q46" s="3"/>
      <c r="R46" s="3"/>
      <c r="S46" s="3">
        <f t="shared" si="0"/>
        <v>0</v>
      </c>
      <c r="T46" s="3"/>
      <c r="U46" s="3">
        <f t="shared" si="1"/>
        <v>250000000</v>
      </c>
      <c r="V46" s="3">
        <f>16656982.72+14875141.44+14752836.64+3934151.84</f>
        <v>50219112.640000001</v>
      </c>
      <c r="W46" s="3">
        <f t="shared" si="3"/>
        <v>199780887.36000001</v>
      </c>
      <c r="X46" s="9"/>
      <c r="Y46" s="3"/>
      <c r="Z46" s="9"/>
      <c r="AA46" s="3"/>
      <c r="AB46" s="5">
        <v>46258</v>
      </c>
      <c r="AC46" s="5">
        <v>46387</v>
      </c>
      <c r="AD46" s="18">
        <f t="shared" si="2"/>
        <v>0.20087645056</v>
      </c>
    </row>
    <row r="47" spans="1:30" ht="45" x14ac:dyDescent="0.25">
      <c r="A47" s="12" t="s">
        <v>148</v>
      </c>
      <c r="B47" s="12">
        <v>46161</v>
      </c>
      <c r="C47" s="1" t="s">
        <v>195</v>
      </c>
      <c r="D47" s="9" t="s">
        <v>38</v>
      </c>
      <c r="E47" s="9" t="s">
        <v>7</v>
      </c>
      <c r="F47" s="10" t="s">
        <v>5</v>
      </c>
      <c r="G47" s="9" t="s">
        <v>151</v>
      </c>
      <c r="H47" s="9" t="s">
        <v>6</v>
      </c>
      <c r="I47" s="14">
        <v>850000000</v>
      </c>
      <c r="J47" s="9">
        <v>10426</v>
      </c>
      <c r="K47" s="9">
        <v>45326</v>
      </c>
      <c r="L47" s="9" t="s">
        <v>200</v>
      </c>
      <c r="M47" s="1" t="s">
        <v>197</v>
      </c>
      <c r="N47" s="9" t="s">
        <v>9</v>
      </c>
      <c r="O47" s="9" t="s">
        <v>8</v>
      </c>
      <c r="P47" s="9" t="s">
        <v>153</v>
      </c>
      <c r="Q47" s="3"/>
      <c r="R47" s="3"/>
      <c r="S47" s="3">
        <f t="shared" si="0"/>
        <v>0</v>
      </c>
      <c r="T47" s="3"/>
      <c r="U47" s="3">
        <f t="shared" si="1"/>
        <v>850000000</v>
      </c>
      <c r="V47" s="3">
        <f>167736600+124471570+55951330+5551750</f>
        <v>353711250</v>
      </c>
      <c r="W47" s="3">
        <f t="shared" si="3"/>
        <v>496288750</v>
      </c>
      <c r="X47" s="9"/>
      <c r="Y47" s="3"/>
      <c r="Z47" s="9"/>
      <c r="AA47" s="3"/>
      <c r="AB47" s="5">
        <v>46258</v>
      </c>
      <c r="AC47" s="5">
        <v>46387</v>
      </c>
      <c r="AD47" s="18">
        <f t="shared" si="2"/>
        <v>0.41613088235294116</v>
      </c>
    </row>
    <row r="48" spans="1:30" ht="45" x14ac:dyDescent="0.25">
      <c r="A48" s="12" t="s">
        <v>150</v>
      </c>
      <c r="B48" s="12">
        <v>46267</v>
      </c>
      <c r="C48" s="1" t="s">
        <v>195</v>
      </c>
      <c r="D48" s="9" t="s">
        <v>38</v>
      </c>
      <c r="E48" s="9" t="s">
        <v>13</v>
      </c>
      <c r="F48" s="10" t="s">
        <v>5</v>
      </c>
      <c r="G48" s="9" t="s">
        <v>154</v>
      </c>
      <c r="H48" s="9" t="s">
        <v>6</v>
      </c>
      <c r="I48" s="14">
        <v>625000000</v>
      </c>
      <c r="J48" s="9">
        <v>10826</v>
      </c>
      <c r="K48" s="9">
        <v>50026</v>
      </c>
      <c r="L48" s="9" t="s">
        <v>200</v>
      </c>
      <c r="M48" s="1" t="s">
        <v>197</v>
      </c>
      <c r="N48" s="9" t="s">
        <v>20</v>
      </c>
      <c r="O48" s="9" t="s">
        <v>17</v>
      </c>
      <c r="P48" s="1" t="s">
        <v>162</v>
      </c>
      <c r="Q48" s="3"/>
      <c r="R48" s="3"/>
      <c r="S48" s="3">
        <f t="shared" si="0"/>
        <v>0</v>
      </c>
      <c r="T48" s="3"/>
      <c r="U48" s="3">
        <f t="shared" si="1"/>
        <v>625000000</v>
      </c>
      <c r="V48" s="3">
        <f>51882086+32923866+34385522</f>
        <v>119191474</v>
      </c>
      <c r="W48" s="3">
        <f t="shared" si="3"/>
        <v>505808526</v>
      </c>
      <c r="X48" s="9"/>
      <c r="Y48" s="3"/>
      <c r="Z48" s="9"/>
      <c r="AA48" s="3"/>
      <c r="AB48" s="5">
        <v>46269</v>
      </c>
      <c r="AC48" s="5">
        <v>46387</v>
      </c>
      <c r="AD48" s="18">
        <f t="shared" si="2"/>
        <v>0.1907063584</v>
      </c>
    </row>
    <row r="49" spans="1:30" ht="82.5" customHeight="1" x14ac:dyDescent="0.25">
      <c r="A49" s="12" t="s">
        <v>149</v>
      </c>
      <c r="B49" s="12">
        <v>46258</v>
      </c>
      <c r="C49" s="1" t="s">
        <v>195</v>
      </c>
      <c r="D49" s="9" t="s">
        <v>40</v>
      </c>
      <c r="E49" s="9" t="s">
        <v>164</v>
      </c>
      <c r="F49" s="13" t="s">
        <v>5</v>
      </c>
      <c r="G49" s="9" t="s">
        <v>163</v>
      </c>
      <c r="H49" s="9" t="s">
        <v>22</v>
      </c>
      <c r="I49" s="14">
        <v>14219500</v>
      </c>
      <c r="J49" s="9">
        <v>10526</v>
      </c>
      <c r="K49" s="9">
        <v>49426</v>
      </c>
      <c r="L49" s="9" t="s">
        <v>199</v>
      </c>
      <c r="M49" s="1" t="s">
        <v>196</v>
      </c>
      <c r="N49" s="9" t="s">
        <v>166</v>
      </c>
      <c r="O49" s="9" t="s">
        <v>165</v>
      </c>
      <c r="P49" s="1" t="s">
        <v>28</v>
      </c>
      <c r="Q49" s="3"/>
      <c r="R49" s="3"/>
      <c r="S49" s="3">
        <f t="shared" si="0"/>
        <v>0</v>
      </c>
      <c r="T49" s="3"/>
      <c r="U49" s="3">
        <f t="shared" si="1"/>
        <v>14219500</v>
      </c>
      <c r="V49" s="3">
        <v>0</v>
      </c>
      <c r="W49" s="3">
        <f t="shared" si="3"/>
        <v>14219500</v>
      </c>
      <c r="X49" s="9"/>
      <c r="Y49" s="3"/>
      <c r="Z49" s="9"/>
      <c r="AA49" s="3"/>
      <c r="AB49" s="5">
        <v>46261</v>
      </c>
      <c r="AC49" s="5">
        <v>46374</v>
      </c>
      <c r="AD49" s="18">
        <f t="shared" si="2"/>
        <v>0</v>
      </c>
    </row>
    <row r="50" spans="1:30" x14ac:dyDescent="0.25">
      <c r="AD5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Yineth Lopez Castillo</dc:creator>
  <cp:lastModifiedBy>Angie Paola Ojeda Orobio</cp:lastModifiedBy>
  <cp:lastPrinted>2026-10-01T15:28:06Z</cp:lastPrinted>
  <dcterms:created xsi:type="dcterms:W3CDTF">2025-11-04T14:52:28Z</dcterms:created>
  <dcterms:modified xsi:type="dcterms:W3CDTF">2026-10-15T13:48:32Z</dcterms:modified>
</cp:coreProperties>
</file>