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ALOCI101\Plan de Accion\DOCUMENTOS VIGENCIA 2021\INFORMES DE LEY\"/>
    </mc:Choice>
  </mc:AlternateContent>
  <bookViews>
    <workbookView xWindow="0" yWindow="0" windowWidth="24000" windowHeight="9735" tabRatio="777" activeTab="2"/>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<sst xmlns="http://schemas.openxmlformats.org/spreadsheetml/2006/main" count="274" uniqueCount="197">
  <si>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</si>
  <si>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</si>
  <si>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</si>
  <si>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</si>
  <si>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</si>
  <si>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</si>
  <si>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</si>
  <si>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</si>
  <si>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</si>
  <si>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</si>
  <si>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</si>
  <si>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</si>
  <si>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</si>
  <si>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</si>
  <si>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</si>
  <si>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</si>
  <si>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</si>
  <si>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</si>
  <si>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</si>
  <si>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</si>
  <si>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</si>
  <si>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</si>
  <si>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</si>
  <si>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</si>
  <si>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</si>
  <si>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</si>
  <si>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</si>
  <si>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</si>
  <si>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</si>
  <si>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</si>
  <si>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</si>
  <si>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</si>
  <si>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</si>
  <si>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</si>
  <si>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</si>
  <si>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</si>
  <si>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</si>
  <si>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</si>
  <si>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</si>
  <si>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</si>
  <si>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</si>
  <si>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</si>
  <si>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</si>
  <si>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</si>
  <si>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</si>
  <si>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</si>
  <si>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</si>
  <si>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</si>
  <si>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</si>
  <si>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</si>
  <si>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</si>
  <si>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</si>
  <si>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</si>
  <si>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</si>
  <si>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</si>
  <si>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</si>
  <si>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</si>
  <si>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</si>
  <si>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</si>
  <si>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</si>
  <si>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</si>
  <si>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</si>
  <si>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</si>
  <si>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</si>
  <si>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</si>
  <si>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</si>
  <si>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</si>
  <si>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</si>
  <si>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</si>
  <si>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</si>
  <si>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</si>
  <si>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</si>
  <si>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</si>
  <si>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</si>
  <si>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</si>
  <si>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</si>
  <si>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</si>
  <si>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</si>
  <si>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</si>
  <si>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</si>
  <si>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</si>
  <si>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</si>
  <si>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</si>
  <si>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</si>
  <si>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</si>
  <si>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</si>
  <si>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</si>
  <si>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</si>
  <si>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</si>
  <si>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</si>
  <si>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</si>
  <si>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</si>
  <si>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</si>
  <si>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</si>
  <si>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</si>
  <si>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</si>
  <si>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</si>
  <si>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</si>
  <si>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</si>
  <si>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</si>
  <si>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</si>
  <si>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</si>
  <si>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</si>
  <si>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</si>
  <si>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</si>
  <si>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</si>
  <si>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</si>
  <si>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</si>
  <si>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</si>
  <si>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</si>
  <si>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</si>
  <si>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</si>
  <si>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</si>
  <si>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(2) Con fecha de actuación en 2021</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</si>
  <si>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</si>
  <si>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</si>
  <si>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</si>
  <si>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</si>
  <si>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</si>
  <si>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</si>
  <si>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</si>
  <si>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</si>
  <si>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</si>
  <si>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</si>
  <si>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</si>
  <si>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</si>
  <si>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</si>
  <si>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</si>
  <si>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</si>
  <si>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</si>
  <si>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</si>
  <si>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</si>
  <si>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</si>
  <si>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</si>
  <si>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</si>
  <si>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</si>
  <si>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</si>
  <si>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</si>
  <si>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</si>
  <si>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</si>
  <si>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</si>
  <si>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</si>
  <si>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</si>
  <si>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</si>
  <si>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</si>
  <si>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</si>
  <si>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</si>
  <si>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</si>
  <si>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</si>
  <si>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Abogados al 31 de diciembre de 2021</t>
  </si>
  <si>
    <t>ABOGADOS ACTIVOS AL 31-12-2021</t>
  </si>
  <si>
    <t>PROCESOS ACTIVOS AL 31 DE DICIEMBRE DE 2021</t>
  </si>
  <si>
    <t>(1) Con fecha de registro anterior al 15-12-2021</t>
  </si>
  <si>
    <t>PROCESOS TERMINADOS SEGUNDO SEMESTRE 2021</t>
  </si>
  <si>
    <t>PROCESOS TERMINADOS DURANTE SEGUNDO SEMESTRE 2021</t>
  </si>
  <si>
    <t>TERMINADOS EN EKOGUI DURANTE SEGUNDO SEMESTRE 2021 (2)</t>
  </si>
  <si>
    <t>PROCESO TERMINADOS AL 31 DE DICIEMBRE 2021</t>
  </si>
  <si>
    <r>
      <t>(3)En el reporte de activos al 31 de diciembre verifique la columna</t>
    </r>
    <r>
      <rPr>
        <b/>
        <i/>
        <sz val="9"/>
        <color theme="1"/>
        <rFont val="Calibri"/>
        <family val="2"/>
        <scheme val="minor"/>
      </rPr>
      <t xml:space="preserve"> Estado General del proceso</t>
    </r>
  </si>
  <si>
    <t>(4)Equivalente a un valor indexado de $29.981 millones a 31 de diciembre de 2021</t>
  </si>
  <si>
    <t>PROCESOS ACTIVOS EN CALIDAD DEMANDADO AL 31-12-2021</t>
  </si>
  <si>
    <t>PROCESOS CON CALIFICACIÓN SEGUNDO SEMESTRE 2021</t>
  </si>
  <si>
    <t>PROCESOS CON CALIFICACIÓN ANTERIOR A 30-06-2021</t>
  </si>
  <si>
    <t>(6) Solo se consideran los procesos activos - calidad demandado al 31 de DICIEMBRE de 2021 que tengan calificación de riesgo</t>
  </si>
  <si>
    <t># PROCESOS</t>
  </si>
  <si>
    <t>REGISTRO POSTERIOR AL 01/07/2021</t>
  </si>
  <si>
    <t>REGISTRO EN 2020 Y ANTERIORES</t>
  </si>
  <si>
    <t>TOTAL PREJUDICIALES TERMINADOS II SEM. 2021</t>
  </si>
  <si>
    <t>TERMINADOS ÚLTIMA ACTUACIÓN II SEM. 2021</t>
  </si>
  <si>
    <t>ARBITRAMENTOS ACTIVOS AL 31-12-2021</t>
  </si>
  <si>
    <t>TOTAL ARBITRAMENTOS TERMINADOS  AL 31-12-2021</t>
  </si>
  <si>
    <t>NOMBRE ENTIDAD</t>
  </si>
  <si>
    <t>NOMBRE Y APELLIDO JEFE CONTROL INTERNO</t>
  </si>
  <si>
    <t>Favor Diligenciar los Campos Resaltados y Revisar la Información Incompleta Antes de Remitir a la ANDJE</t>
  </si>
  <si>
    <t>Pagos enlazados al 31-12-2021</t>
  </si>
  <si>
    <t>Favor Diligenciar los campos Resaltados</t>
  </si>
  <si>
    <t>RETIRADOS EN LA ENTIDAD SEGUNDO SEMESTRE 2021</t>
  </si>
  <si>
    <t>INACTIVADOS EN EKOGUI SEGUNDO SEMESTRE 2021</t>
  </si>
  <si>
    <t>Conciliaciones Prejudiciales</t>
  </si>
  <si>
    <t>PREJUDICIALES ACTIVAS AL 31-12-2021</t>
  </si>
  <si>
    <t>PREJUDICIALES TERMINADAS SEGUNDO SEMESTRE 2021</t>
  </si>
  <si>
    <t>Procesos que se encuentran terminados</t>
  </si>
  <si>
    <t>REGISTRO ENTRE 1 DE ENERO Y 30 DE JUNIO 2021</t>
  </si>
  <si>
    <t>SANDRA PATRICIA BOLAÑOS RODRIGUEZ</t>
  </si>
  <si>
    <t xml:space="preserve">MARTHA EUGENIA CORTES BAQUERO </t>
  </si>
  <si>
    <t>DIANA MILENA TRIANA MORENO</t>
  </si>
  <si>
    <t>ALEJANDRO ULISES MURILLO DEVIA</t>
  </si>
  <si>
    <t xml:space="preserve">LUICILA SALAMANCA ARVELAEZ </t>
  </si>
  <si>
    <t>ESTEFANY ISABEL MEJIA GOMEZ</t>
  </si>
  <si>
    <t xml:space="preserve">La oficina juridica reporta que la diferencia entre activos reportados por ellos y activos registrados en EKOGUI, se debe a que durante la vigencia 2021 se activaron 9 procesos a fin de elaborar el desarrollo del MOG y cerrar los procesos por parte de la entidad.
Con relación a los procesos terminados segundo semestre 2021, la Oficina Juridica reporta 3, sin embargo, en EKOGUI se evidencian 4, de los cuales 3 fueron terminados por ejecutoria de la sentencia y el proceso con número de EKOGUI 2187071  fue terminado por " AUTO QUE RESUELVE RECURSO DE REPOSICION EN FIRME"
El proceso con número de EKOGUI 710884 aparece en el cuadro de activos con estado terminado
Calificación de Riesgo: Calificados en segundo semestre del 2021 se reportan 11 procesos, sin emabrgo, contando los calificados en 2022 se evidencian  72 ( 11 procesos de 2021 y 61 calificados en 2022)
Se evidencia novedad, puesto que, hay 3 procesos con calificación anterior al 30-06-2021 y 4 procesos sin calificar.
Provision contable: se evidencia dos (2) procesos: proceso 498756 y 2105721 tienen probabilidad de perde el caso "ALTA", sin embargo, presentan provisión contable 0.
</t>
  </si>
  <si>
    <t>La oficina Asesora juridica de la entidad reporta que no se registran arbitramentos en la vigencia 2021, sin embargo, en Ekogui se evidencia el arbitramento con numero de ekogui 2001222 terminado.</t>
  </si>
  <si>
    <t>AGENCIA LOGISTICA DE LAS FUERZAS MILITARES</t>
  </si>
  <si>
    <t>ALEJANDRO ULISES MURILLO DEVIA.</t>
  </si>
  <si>
    <t xml:space="preserve">La información de prejudiciales activas se obtuvo a partir de la información de los procesos que se cerraron en 2022 teniendo en cuenta la casilla "FECHA DE ULTIMA ACTUALIZACION DEL CASO", según lo consultado a soporte EKOGUI.
La Oficina juridica reporta que a 31 de diciembre de 2021 habia 10 procesos prejudiciales activos, no obstante, al verificar en ekogui en reporte del 18-02-2022, se evidencia que en enero 2022 se terminaron 11 procesos, es decir, a 31 de diciembre habian 11 prejudiciales activos en ekogui, con base a esto se preguntó a la Oficina juridica sobre el proceso de diferencia, a lo cual mencionaron que hace referenia al proceso con ID ekogui 1166085 el cual tiene fecha de registro del año 2018, y no lo habian reportado a la Oficina de Control Interno por la antiguedad, sin embargo, si estaba activo, en sintesis, son 11 prejudicales activos a 31 de diciembre del 2021. Actualmente hay 0 prejudiciales activos en EKOGUI.
Con respecto al "TOTAL PREJUDICIALES TERMINADOS ll SEMESTRE 2021" se consulto con la oficina juridica, quien dió un reporte de tres (3), sin embargo, al consultar el reporte de EKOGUI en la columna "FECHA DE ULTIMA ACTUALIZACION DEL CASO", se evidencia que en ll semestre 2021 terminaron 23. 
Con respecto a la tabla de "actualización", se tomo una muestra de 10 procesos activos a 31-12-2021, sin embargo, se evidencia que actualmente ya se encuentran todos en estado terminado.
</t>
  </si>
  <si>
    <t>El enlace de pagos de la entidad reporta que durante la vigencia 2021 se efectuo un pago al señor HECTOR EMILIO MUNERA GONZALEZ con fecha 7 diciembre 2021, sin embargo, los soportes de este se asociaron en EKOGUI en la vigencia 2022.
Al descargar el reporte de pagos, se evidencia que efectivamente se realizó este pago en la fecha indicada, asi mismo, se observan 3 pagos correspondientes a vigencias anteriores, para un total de 4 pagos enlazados.</t>
  </si>
  <si>
    <t>El jefe financiero Sandra Patricia Bolaños remite captura de pantalla de citación a capacitación del Rol, puesto que, menciona que no recibio la certificación. 
Para el rol administrador de la Entidad la funcionaria menciona que solicitó certificado a la ANDJE, sin embargo, no se adjunta evidencia de la asistencia a esta capacitación.
Rol Jefe Juridico:  Con correo del 21-01-2022 se solicitó a la ANDJE por parte del administrador de la entidad, capacitaciones en en los roles de jefe juridico y de control interno, a la fecha no se evidencian soportes que evidencien  capacitación del Rol Jefe Juridico.</t>
  </si>
  <si>
    <t>De la muestra tomada, no se evidencia capacitación en el rol de abogado para  Camilo Rodriguez Galeano  y Estefany Isabel Mejia, no obstante, se evidencia para Camilo Galeano capacitación en Indicadores, reportes y seguimiento del sistema Ekogui del 26-03-2021.</t>
  </si>
  <si>
    <t>Se evidencia que la administradora de la Entidad a solicitado a la  ANDJE capacitaciones para los diferentes Roles de la entidad, las cuales se solicitara que se realicen en este semestre según agenda de disponibilidad la ANDJE, con el fin de mejorar el indicador de nivel de capacitación.
Con respecto a las demas novedades, se informara nuevamente a la Oficina Asesora Juridica, lo evidenciado dentro de este seguimiento para que se realicén las respectivas mejoras.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</si>
</sst>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0" xfId="0" applyFill="1" applyBorder="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applyFont="1"/>
    <xf numFmtId="164" fontId="15" fillId="0" borderId="0" xfId="2" applyNumberFormat="1"/>
    <xf numFmtId="0" fontId="15" fillId="4" borderId="0" xfId="2" applyFont="1" applyFill="1"/>
    <xf numFmtId="0" fontId="15" fillId="4" borderId="0" xfId="2" applyFont="1" applyFill="1" applyBorder="1"/>
    <xf numFmtId="0" fontId="15" fillId="4" borderId="0" xfId="2" applyFont="1"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Fill="1" applyBorder="1" applyProtection="1">
      <protection hidden="1"/>
    </xf>
    <xf numFmtId="0" fontId="0" fillId="2" borderId="0" xfId="0" applyFill="1" applyBorder="1" applyAlignment="1">
      <alignment horizontal="center"/>
    </xf>
    <xf numFmtId="0" fontId="4" fillId="2" borderId="0" xfId="0" applyFont="1" applyFill="1" applyProtection="1"/>
    <xf numFmtId="0" fontId="0" fillId="2" borderId="0" xfId="0" applyFill="1" applyBorder="1" applyAlignment="1" applyProtection="1"/>
    <xf numFmtId="0" fontId="0" fillId="0" borderId="0" xfId="0" applyBorder="1" applyProtection="1"/>
    <xf numFmtId="0" fontId="0" fillId="2" borderId="5" xfId="0" applyFill="1" applyBorder="1" applyProtection="1"/>
    <xf numFmtId="0" fontId="0" fillId="0" borderId="0" xfId="0" applyFill="1" applyProtection="1"/>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Border="1" applyAlignment="1">
      <alignment horizontal="center" vertical="center"/>
    </xf>
    <xf numFmtId="0" fontId="17" fillId="0" borderId="0"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6" borderId="13" xfId="0" applyFill="1" applyBorder="1" applyAlignment="1" applyProtection="1">
      <alignment horizontal="left" vertical="top" wrapText="1"/>
      <protection locked="0"/>
    </xf>
    <xf numFmtId="0" fontId="0" fillId="6" borderId="7" xfId="0" applyFill="1" applyBorder="1" applyAlignment="1" applyProtection="1">
      <alignment horizontal="center" vertical="top"/>
      <protection locked="0"/>
    </xf>
    <xf numFmtId="0" fontId="6" fillId="0" borderId="0" xfId="0" applyFont="1" applyBorder="1" applyAlignment="1">
      <alignment horizontal="center"/>
    </xf>
  </cellXfs>
  <cellStyles count="3">
    <cellStyle name="Excel Built-in Normal" xfId="2"/>
    <cellStyle name="Normal" xfId="0" builtinId="0"/>
    <cellStyle name="Porcentaje" xfId="1" builtinId="5"/>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 y Validaci&#243;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xmlns=""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xmlns=""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xmlns=""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xmlns=""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xmlns=""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xmlns=""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xmlns=""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xmlns=""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xmlns=""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xmlns=""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xmlns=""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xmlns=""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xmlns=""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xmlns=""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xmlns=""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xmlns=""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xmlns=""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xmlns=""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xmlns=""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91" t="s">
        <v>78</v>
      </c>
      <c r="C3" s="92"/>
      <c r="D3" s="92"/>
      <c r="E3" s="92"/>
      <c r="F3" s="92"/>
      <c r="G3" s="92"/>
      <c r="H3" s="92"/>
      <c r="I3" s="92"/>
      <c r="J3" s="92"/>
      <c r="K3" s="92"/>
      <c r="L3" s="92"/>
      <c r="M3" s="92"/>
      <c r="N3" s="92"/>
      <c r="O3" s="93"/>
    </row>
    <row r="4" spans="2:15" ht="23.25" x14ac:dyDescent="0.35">
      <c r="B4" s="91" t="s">
        <v>11</v>
      </c>
      <c r="C4" s="92"/>
      <c r="D4" s="92"/>
      <c r="E4" s="92"/>
      <c r="F4" s="92"/>
      <c r="G4" s="92"/>
      <c r="H4" s="92"/>
      <c r="I4" s="92"/>
      <c r="J4" s="92"/>
      <c r="K4" s="92"/>
      <c r="L4" s="92"/>
      <c r="M4" s="92"/>
      <c r="N4" s="92"/>
      <c r="O4" s="93"/>
    </row>
    <row r="5" spans="2:15" x14ac:dyDescent="0.25">
      <c r="B5" s="5"/>
      <c r="C5" s="6"/>
      <c r="D5" s="6"/>
      <c r="E5" s="6"/>
      <c r="F5" s="6"/>
      <c r="G5" s="6"/>
      <c r="H5" s="6"/>
      <c r="I5" s="6"/>
      <c r="J5" s="6"/>
      <c r="K5" s="6"/>
      <c r="L5" s="6"/>
      <c r="M5" s="6"/>
      <c r="N5" s="6"/>
      <c r="O5" s="7"/>
    </row>
    <row r="6" spans="2:15" x14ac:dyDescent="0.25">
      <c r="B6" s="5"/>
      <c r="C6" s="94" t="s">
        <v>91</v>
      </c>
      <c r="D6" s="94"/>
      <c r="E6" s="94"/>
      <c r="F6" s="94"/>
      <c r="G6" s="94"/>
      <c r="H6" s="94"/>
      <c r="I6" s="94"/>
      <c r="J6" s="94"/>
      <c r="K6" s="94"/>
      <c r="L6" s="94"/>
      <c r="M6" s="94"/>
      <c r="N6" s="94"/>
      <c r="O6" s="7"/>
    </row>
    <row r="7" spans="2:15" x14ac:dyDescent="0.25">
      <c r="B7" s="5"/>
      <c r="C7" s="94"/>
      <c r="D7" s="94"/>
      <c r="E7" s="94"/>
      <c r="F7" s="94"/>
      <c r="G7" s="94"/>
      <c r="H7" s="94"/>
      <c r="I7" s="94"/>
      <c r="J7" s="94"/>
      <c r="K7" s="94"/>
      <c r="L7" s="94"/>
      <c r="M7" s="94"/>
      <c r="N7" s="94"/>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jixiNfD+nofjAxMPyQEwidGoTJEdLEh3lZobn98nwgWvzNuweENJPEe6u5elpVqKe6ynHDatuY0qk+QHeybBlg==" saltValue="4rftt6+0w0ym0OjRMUwWOw=="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zoomScale="91" zoomScaleNormal="91"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95" t="s">
        <v>109</v>
      </c>
      <c r="C7" s="96"/>
      <c r="D7" s="96"/>
      <c r="E7" s="96"/>
      <c r="F7" s="96"/>
      <c r="G7" s="97"/>
      <c r="T7" s="1" t="s">
        <v>12</v>
      </c>
    </row>
    <row r="8" spans="2:20" ht="15.75" thickBot="1" x14ac:dyDescent="0.3">
      <c r="B8" s="14"/>
      <c r="C8" s="15"/>
      <c r="D8" s="103" t="s">
        <v>148</v>
      </c>
      <c r="E8" s="103"/>
      <c r="F8" s="15"/>
      <c r="G8" s="16"/>
      <c r="T8" s="1" t="s">
        <v>13</v>
      </c>
    </row>
    <row r="9" spans="2:20" ht="15.75" thickBot="1" x14ac:dyDescent="0.3">
      <c r="B9" s="101" t="s">
        <v>111</v>
      </c>
      <c r="C9" s="102"/>
      <c r="D9" s="78"/>
      <c r="E9" s="15"/>
      <c r="F9" s="15"/>
      <c r="G9" s="16"/>
      <c r="T9" s="1" t="s">
        <v>14</v>
      </c>
    </row>
    <row r="10" spans="2:20" x14ac:dyDescent="0.25">
      <c r="B10" s="14" t="s">
        <v>174</v>
      </c>
      <c r="C10" s="15"/>
      <c r="D10" s="15"/>
      <c r="E10" s="15"/>
      <c r="F10" s="15"/>
      <c r="G10" s="67">
        <v>43545</v>
      </c>
    </row>
    <row r="11" spans="2:20" x14ac:dyDescent="0.25">
      <c r="B11" s="22" t="s">
        <v>15</v>
      </c>
      <c r="C11" s="23" t="s">
        <v>16</v>
      </c>
      <c r="D11" s="24" t="s">
        <v>6</v>
      </c>
      <c r="E11" s="23" t="s">
        <v>7</v>
      </c>
      <c r="F11" s="23" t="s">
        <v>17</v>
      </c>
      <c r="G11" s="25" t="s">
        <v>79</v>
      </c>
    </row>
    <row r="12" spans="2:20" x14ac:dyDescent="0.25">
      <c r="B12" s="21" t="s">
        <v>0</v>
      </c>
      <c r="C12" s="78" t="s">
        <v>12</v>
      </c>
      <c r="D12" s="79">
        <v>43823</v>
      </c>
      <c r="E12" s="78" t="s">
        <v>182</v>
      </c>
      <c r="F12" s="79">
        <v>44540</v>
      </c>
      <c r="G12" s="80" t="str">
        <f>+IF(C12="SI",IF(F12&lt;$G$10,"DESACTUALIZADO",""),"")</f>
        <v/>
      </c>
      <c r="H12" s="42">
        <f t="shared" ref="H12:H17" si="0">+IF(C12="N/A",1,0)</f>
        <v>0</v>
      </c>
      <c r="I12" s="42">
        <f t="shared" ref="I12:I17" si="1">+IF(C12="Si",1,0)</f>
        <v>1</v>
      </c>
      <c r="J12" s="42">
        <f t="shared" ref="J12:J17" si="2">+IF(C12="No",1,0)</f>
        <v>0</v>
      </c>
    </row>
    <row r="13" spans="2:20" x14ac:dyDescent="0.25">
      <c r="B13" s="21" t="s">
        <v>1</v>
      </c>
      <c r="C13" s="78" t="s">
        <v>12</v>
      </c>
      <c r="D13" s="79">
        <v>42370</v>
      </c>
      <c r="E13" s="78" t="s">
        <v>183</v>
      </c>
      <c r="F13" s="79"/>
      <c r="G13" s="80" t="str">
        <f t="shared" ref="G13:G17" si="3">+IF(C13="SI",IF(F13&lt;$G$10,"DESACTUALIZADO",""),"")</f>
        <v>DESACTUALIZADO</v>
      </c>
      <c r="H13" s="42">
        <f t="shared" si="0"/>
        <v>0</v>
      </c>
      <c r="I13" s="42">
        <f t="shared" si="1"/>
        <v>1</v>
      </c>
      <c r="J13" s="42">
        <f t="shared" si="2"/>
        <v>0</v>
      </c>
    </row>
    <row r="14" spans="2:20" x14ac:dyDescent="0.25">
      <c r="B14" s="21" t="s">
        <v>2</v>
      </c>
      <c r="C14" s="78" t="s">
        <v>12</v>
      </c>
      <c r="D14" s="79">
        <v>43546</v>
      </c>
      <c r="E14" s="78" t="s">
        <v>184</v>
      </c>
      <c r="F14" s="79">
        <v>44090</v>
      </c>
      <c r="G14" s="80" t="str">
        <f t="shared" si="3"/>
        <v/>
      </c>
      <c r="H14" s="42">
        <f t="shared" si="0"/>
        <v>0</v>
      </c>
      <c r="I14" s="42">
        <f t="shared" si="1"/>
        <v>1</v>
      </c>
      <c r="J14" s="42">
        <f t="shared" si="2"/>
        <v>0</v>
      </c>
      <c r="T14" s="48">
        <v>43545</v>
      </c>
    </row>
    <row r="15" spans="2:20" x14ac:dyDescent="0.25">
      <c r="B15" s="21" t="s">
        <v>3</v>
      </c>
      <c r="C15" s="78" t="s">
        <v>12</v>
      </c>
      <c r="D15" s="79">
        <v>44379</v>
      </c>
      <c r="E15" s="78" t="s">
        <v>185</v>
      </c>
      <c r="F15" s="79">
        <v>44629</v>
      </c>
      <c r="G15" s="80" t="str">
        <f t="shared" si="3"/>
        <v/>
      </c>
      <c r="H15" s="42">
        <f t="shared" si="0"/>
        <v>0</v>
      </c>
      <c r="I15" s="42">
        <f t="shared" si="1"/>
        <v>1</v>
      </c>
      <c r="J15" s="42">
        <f t="shared" si="2"/>
        <v>0</v>
      </c>
    </row>
    <row r="16" spans="2:20" x14ac:dyDescent="0.25">
      <c r="B16" s="21" t="s">
        <v>4</v>
      </c>
      <c r="C16" s="78" t="s">
        <v>12</v>
      </c>
      <c r="D16" s="79">
        <v>42957</v>
      </c>
      <c r="E16" s="78" t="s">
        <v>186</v>
      </c>
      <c r="F16" s="79">
        <v>44540</v>
      </c>
      <c r="G16" s="80" t="str">
        <f t="shared" si="3"/>
        <v/>
      </c>
      <c r="H16" s="42">
        <f t="shared" si="0"/>
        <v>0</v>
      </c>
      <c r="I16" s="42">
        <f t="shared" si="1"/>
        <v>1</v>
      </c>
      <c r="J16" s="42">
        <f t="shared" si="2"/>
        <v>0</v>
      </c>
    </row>
    <row r="17" spans="2:10" x14ac:dyDescent="0.25">
      <c r="B17" s="21" t="s">
        <v>5</v>
      </c>
      <c r="C17" s="78" t="s">
        <v>12</v>
      </c>
      <c r="D17" s="79">
        <v>43624</v>
      </c>
      <c r="E17" s="78" t="s">
        <v>187</v>
      </c>
      <c r="F17" s="78"/>
      <c r="G17" s="80" t="str">
        <f t="shared" si="3"/>
        <v>DESACTUALIZADO</v>
      </c>
      <c r="H17" s="42">
        <f t="shared" si="0"/>
        <v>0</v>
      </c>
      <c r="I17" s="42">
        <f t="shared" si="1"/>
        <v>1</v>
      </c>
      <c r="J17" s="42">
        <f t="shared" si="2"/>
        <v>0</v>
      </c>
    </row>
    <row r="18" spans="2:10" x14ac:dyDescent="0.25">
      <c r="B18" s="14"/>
      <c r="C18" s="15"/>
      <c r="D18" s="15"/>
      <c r="E18" s="15"/>
      <c r="F18" s="15"/>
      <c r="G18" s="16"/>
    </row>
    <row r="19" spans="2:10" ht="94.5" customHeight="1" thickBot="1" x14ac:dyDescent="0.3">
      <c r="B19" s="62" t="s">
        <v>94</v>
      </c>
      <c r="C19" s="98" t="s">
        <v>194</v>
      </c>
      <c r="D19" s="99"/>
      <c r="E19" s="99"/>
      <c r="F19" s="99"/>
      <c r="G19" s="100"/>
    </row>
  </sheetData>
  <sheetProtection algorithmName="SHA-512" hashValue="oHz1DPDdCQTfk6HZYZzwTSwYDKTppR1PbQ2tnrxwRrliyvD3HJxqgmjnxso6QvoYykx3jGyO1xZtda5gpn7FiQ==" saltValue="yDPNcT7s0avqeYJyH+YnUg==" spinCount="100000" sheet="1" objects="1" scenarios="1"/>
  <dataConsolidate/>
  <mergeCells count="4">
    <mergeCell ref="B7:G7"/>
    <mergeCell ref="C19:G19"/>
    <mergeCell ref="B9:C9"/>
    <mergeCell ref="D8:E8"/>
  </mergeCells>
  <conditionalFormatting sqref="C12:C17">
    <cfRule type="containsText" dxfId="40" priority="12" operator="containsText" text="N/A">
      <formula>NOT(ISERROR(SEARCH("N/A",C12)))</formula>
    </cfRule>
    <cfRule type="containsBlanks" dxfId="39" priority="20">
      <formula>LEN(TRIM(C12))=0</formula>
    </cfRule>
  </conditionalFormatting>
  <conditionalFormatting sqref="D9">
    <cfRule type="containsBlanks" dxfId="38" priority="19">
      <formula>LEN(TRIM(D9))=0</formula>
    </cfRule>
  </conditionalFormatting>
  <conditionalFormatting sqref="D12:F17">
    <cfRule type="containsBlanks" dxfId="37" priority="14">
      <formula>LEN(TRIM(D12))=0</formula>
    </cfRule>
  </conditionalFormatting>
  <conditionalFormatting sqref="C19">
    <cfRule type="containsBlanks" dxfId="36" priority="13">
      <formula>LEN(TRIM(C19))=0</formula>
    </cfRule>
  </conditionalFormatting>
  <conditionalFormatting sqref="D12:F12">
    <cfRule type="expression" dxfId="35" priority="8">
      <formula>OR($C$12="No",$C$12="N/A")</formula>
    </cfRule>
  </conditionalFormatting>
  <conditionalFormatting sqref="D14:F14">
    <cfRule type="expression" dxfId="34" priority="7">
      <formula>OR($C$14="No",$C$14="N/A")</formula>
    </cfRule>
  </conditionalFormatting>
  <conditionalFormatting sqref="D13:F13">
    <cfRule type="expression" dxfId="33" priority="5">
      <formula>OR($C$13="No",$C$13="N/A")</formula>
    </cfRule>
  </conditionalFormatting>
  <conditionalFormatting sqref="D15:F15">
    <cfRule type="expression" dxfId="32" priority="3">
      <formula>OR($C$15="No",$C$15="N/A")</formula>
    </cfRule>
  </conditionalFormatting>
  <conditionalFormatting sqref="D16:F16">
    <cfRule type="expression" dxfId="31" priority="2">
      <formula>OR($C$16="No",$C$16="N/A")</formula>
    </cfRule>
  </conditionalFormatting>
  <conditionalFormatting sqref="D17:F17">
    <cfRule type="expression" dxfId="30" priority="1">
      <formula>OR($C$17="No",$C$17="N/A")</formula>
    </cfRule>
  </conditionalFormatting>
  <dataValidations count="7">
    <dataValidation type="date" showInputMessage="1" showErrorMessage="1" promptTitle="Fecha de Generacion del Reporte" prompt="Indique la fecha en que genera o Elabora este reporte de Usuarios Activos  No Abogados" sqref="D9">
      <formula1>44580</formula1>
      <formula2>44642</formula2>
    </dataValidation>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formula1>40544</formula1>
      <formula2>44651</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5 E16"/>
    <dataValidation showInputMessage="1" showErrorMessage="1" errorTitle="Fecha invalida" error="La fecha debe estar entre el 01/01/2011 y el 31/03/2022" sqref="E13"/>
    <dataValidation showInputMessage="1" showErrorMessage="1" sqref="E14"/>
    <dataValidation showInputMessage="1" showErrorMessage="1" sqref="E1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6"/>
  <sheetViews>
    <sheetView showGridLines="0" tabSelected="1" zoomScale="91" zoomScaleNormal="91" workbookViewId="0">
      <selection activeCell="D30" sqref="D30"/>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7</v>
      </c>
    </row>
    <row r="4" spans="2:22" x14ac:dyDescent="0.25">
      <c r="B4" s="14"/>
      <c r="C4" s="15"/>
      <c r="D4" s="15"/>
      <c r="E4" s="15"/>
      <c r="F4" s="15"/>
      <c r="G4" s="15"/>
      <c r="H4" s="16"/>
    </row>
    <row r="5" spans="2:22" x14ac:dyDescent="0.25">
      <c r="B5" s="14"/>
      <c r="C5" s="15"/>
      <c r="D5" s="15" t="s">
        <v>148</v>
      </c>
      <c r="E5" s="15"/>
      <c r="F5" s="15"/>
      <c r="G5" s="15"/>
      <c r="H5" s="16"/>
    </row>
    <row r="6" spans="2:22" ht="15" customHeight="1" x14ac:dyDescent="0.25">
      <c r="B6" s="14"/>
      <c r="C6" s="27"/>
      <c r="D6" s="27"/>
      <c r="E6" s="27"/>
      <c r="G6" s="32"/>
      <c r="H6" s="33"/>
    </row>
    <row r="7" spans="2:22" ht="17.25" customHeight="1" x14ac:dyDescent="0.35">
      <c r="B7" s="14"/>
      <c r="C7" s="20" t="s">
        <v>111</v>
      </c>
      <c r="D7" s="79">
        <v>44609</v>
      </c>
      <c r="E7" s="26"/>
      <c r="F7" s="104" t="str">
        <f>"Seleccione una muestra de "&amp;V3&amp;" abogados activos y complete la siguiente tabla"</f>
        <v>Seleccione una muestra de 7 abogados activos y complete la siguiente tabla</v>
      </c>
      <c r="G7" s="105"/>
      <c r="H7" s="33"/>
    </row>
    <row r="8" spans="2:22" x14ac:dyDescent="0.25">
      <c r="B8" s="14"/>
      <c r="D8" s="15"/>
      <c r="E8" s="15"/>
      <c r="F8" s="106"/>
      <c r="G8" s="107"/>
      <c r="H8" s="16"/>
      <c r="T8" s="1" t="s">
        <v>13</v>
      </c>
    </row>
    <row r="9" spans="2:22" ht="23.25" x14ac:dyDescent="0.25">
      <c r="B9" s="14"/>
      <c r="C9" s="34" t="s">
        <v>149</v>
      </c>
      <c r="E9" s="6"/>
      <c r="F9" s="24" t="s">
        <v>98</v>
      </c>
      <c r="G9" s="24" t="s">
        <v>19</v>
      </c>
      <c r="H9" s="16"/>
      <c r="T9" s="1" t="s">
        <v>14</v>
      </c>
    </row>
    <row r="10" spans="2:22" x14ac:dyDescent="0.25">
      <c r="B10" s="14"/>
      <c r="C10" s="23" t="s">
        <v>150</v>
      </c>
      <c r="D10" s="23" t="s">
        <v>23</v>
      </c>
      <c r="E10" s="6"/>
      <c r="F10" s="20" t="s">
        <v>95</v>
      </c>
      <c r="G10" s="78">
        <v>7</v>
      </c>
      <c r="H10" s="16"/>
    </row>
    <row r="11" spans="2:22" x14ac:dyDescent="0.25">
      <c r="B11" s="14"/>
      <c r="C11" s="20" t="s">
        <v>21</v>
      </c>
      <c r="D11" s="78">
        <v>7</v>
      </c>
      <c r="E11" s="6"/>
      <c r="F11" s="20" t="s">
        <v>96</v>
      </c>
      <c r="G11" s="78">
        <v>7</v>
      </c>
      <c r="H11" s="16"/>
    </row>
    <row r="12" spans="2:22" x14ac:dyDescent="0.25">
      <c r="B12" s="14"/>
      <c r="C12" s="20" t="s">
        <v>22</v>
      </c>
      <c r="D12" s="78">
        <v>7</v>
      </c>
      <c r="E12" s="6"/>
      <c r="F12" s="20" t="s">
        <v>97</v>
      </c>
      <c r="G12" s="78">
        <v>7</v>
      </c>
      <c r="H12" s="16"/>
    </row>
    <row r="13" spans="2:22" x14ac:dyDescent="0.25">
      <c r="B13" s="14"/>
      <c r="C13" s="20" t="s">
        <v>26</v>
      </c>
      <c r="D13" s="78">
        <v>7</v>
      </c>
      <c r="E13" s="6"/>
      <c r="F13" s="52" t="s">
        <v>103</v>
      </c>
      <c r="G13" s="51"/>
      <c r="H13" s="16"/>
    </row>
    <row r="14" spans="2:22" x14ac:dyDescent="0.25">
      <c r="B14" s="14"/>
      <c r="E14" s="6"/>
      <c r="F14" s="53" t="s">
        <v>104</v>
      </c>
      <c r="G14" s="54"/>
      <c r="H14" s="16"/>
    </row>
    <row r="15" spans="2:22" x14ac:dyDescent="0.25">
      <c r="B15" s="14"/>
      <c r="E15" s="6"/>
      <c r="H15" s="16"/>
    </row>
    <row r="16" spans="2:22" x14ac:dyDescent="0.25">
      <c r="B16" s="14"/>
      <c r="C16" s="23" t="s">
        <v>24</v>
      </c>
      <c r="D16" s="23" t="s">
        <v>23</v>
      </c>
      <c r="E16" s="6"/>
      <c r="F16" s="24" t="s">
        <v>107</v>
      </c>
      <c r="G16" s="24" t="s">
        <v>19</v>
      </c>
      <c r="H16" s="16"/>
    </row>
    <row r="17" spans="2:8" x14ac:dyDescent="0.25">
      <c r="B17" s="14"/>
      <c r="C17" s="20" t="s">
        <v>175</v>
      </c>
      <c r="D17" s="78">
        <v>1</v>
      </c>
      <c r="E17" s="6"/>
      <c r="F17" s="20" t="s">
        <v>110</v>
      </c>
      <c r="G17" s="78">
        <v>5</v>
      </c>
      <c r="H17" s="16"/>
    </row>
    <row r="18" spans="2:8" x14ac:dyDescent="0.25">
      <c r="B18" s="14"/>
      <c r="C18" s="20" t="s">
        <v>176</v>
      </c>
      <c r="D18" s="78">
        <v>1</v>
      </c>
      <c r="E18" s="6"/>
      <c r="F18" s="49" t="s">
        <v>80</v>
      </c>
      <c r="G18" s="78">
        <v>0</v>
      </c>
      <c r="H18" s="16"/>
    </row>
    <row r="19" spans="2:8" x14ac:dyDescent="0.25">
      <c r="B19" s="14"/>
      <c r="C19" s="59"/>
      <c r="E19" s="6"/>
      <c r="F19" s="20" t="s">
        <v>100</v>
      </c>
      <c r="G19" s="78">
        <v>0</v>
      </c>
      <c r="H19" s="16"/>
    </row>
    <row r="20" spans="2:8" x14ac:dyDescent="0.25">
      <c r="B20" s="14"/>
      <c r="C20" s="59"/>
      <c r="E20" s="6"/>
      <c r="F20" s="20" t="s">
        <v>25</v>
      </c>
      <c r="G20" s="78">
        <v>2</v>
      </c>
      <c r="H20" s="16"/>
    </row>
    <row r="21" spans="2:8" x14ac:dyDescent="0.25">
      <c r="B21" s="14"/>
      <c r="C21" s="82" t="s">
        <v>99</v>
      </c>
      <c r="D21" s="83"/>
      <c r="E21" s="84"/>
      <c r="F21" s="86"/>
      <c r="G21" s="86"/>
      <c r="H21" s="85"/>
    </row>
    <row r="22" spans="2:8" x14ac:dyDescent="0.25">
      <c r="B22" s="14"/>
      <c r="C22" s="108" t="s">
        <v>195</v>
      </c>
      <c r="D22" s="109"/>
      <c r="E22" s="109"/>
      <c r="F22" s="109"/>
      <c r="G22" s="110"/>
      <c r="H22" s="16"/>
    </row>
    <row r="23" spans="2:8" x14ac:dyDescent="0.25">
      <c r="B23" s="14"/>
      <c r="C23" s="111"/>
      <c r="D23" s="112"/>
      <c r="E23" s="112"/>
      <c r="F23" s="112"/>
      <c r="G23" s="113"/>
      <c r="H23" s="16"/>
    </row>
    <row r="24" spans="2:8" x14ac:dyDescent="0.25">
      <c r="B24" s="14"/>
      <c r="C24" s="111"/>
      <c r="D24" s="112"/>
      <c r="E24" s="112"/>
      <c r="F24" s="112"/>
      <c r="G24" s="113"/>
      <c r="H24" s="16"/>
    </row>
    <row r="25" spans="2:8" x14ac:dyDescent="0.25">
      <c r="B25" s="14"/>
      <c r="C25" s="114"/>
      <c r="D25" s="115"/>
      <c r="E25" s="115"/>
      <c r="F25" s="115"/>
      <c r="G25" s="116"/>
      <c r="H25" s="16"/>
    </row>
    <row r="26" spans="2:8" ht="15.75" thickBot="1" x14ac:dyDescent="0.3">
      <c r="B26" s="17"/>
      <c r="C26" s="18"/>
      <c r="D26" s="18"/>
      <c r="E26" s="18"/>
      <c r="F26" s="18"/>
      <c r="G26" s="18"/>
      <c r="H26" s="19"/>
    </row>
  </sheetData>
  <sheetProtection algorithmName="SHA-512" hashValue="9NwfrAZwwCCqcnmjgItUn7cSCgEOM1RfPFDCS/YBNTlj50wGzL24n1SYV7L5mQM/ZmVrcd+lsAQ/bVkRaodCXg==" saltValue="DgJkwMDcocd3A27+7ly9a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formula1>0</formula1>
    </dataValidation>
    <dataValidation type="date" showInputMessage="1" showErrorMessage="1" errorTitle="FECHA INVALIDA" promptTitle="Fecha de Generacion del Reporte " prompt="Diligenciar la fecha de Generacion de este Reporte de Usuarios Abogados Formato (DD/MM/AAAA)" sqref="D7">
      <formula1>44580</formula1>
      <formula2>44642</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zoomScale="69" zoomScaleNormal="69" workbookViewId="0">
      <selection activeCell="I15" sqref="I15"/>
    </sheetView>
  </sheetViews>
  <sheetFormatPr baseColWidth="10" defaultRowHeight="15" x14ac:dyDescent="0.25"/>
  <cols>
    <col min="1" max="1" width="3.85546875" style="1" customWidth="1"/>
    <col min="2" max="2" width="11.42578125" style="1"/>
    <col min="3" max="3" width="67.42578125" style="1" customWidth="1"/>
    <col min="4" max="4" width="15.28515625" style="1" customWidth="1"/>
    <col min="5" max="5" width="6.28515625" style="1" customWidth="1"/>
    <col min="6" max="6" width="63.57031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4</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22" t="s">
        <v>68</v>
      </c>
      <c r="D6" s="122"/>
      <c r="E6" s="122"/>
      <c r="F6" s="122"/>
      <c r="G6" s="122"/>
      <c r="H6" s="122"/>
      <c r="I6" s="33"/>
    </row>
    <row r="7" spans="2:23" x14ac:dyDescent="0.25">
      <c r="B7" s="14"/>
      <c r="C7" s="15"/>
      <c r="D7" s="27"/>
      <c r="E7" s="81" t="s">
        <v>148</v>
      </c>
      <c r="F7" s="27"/>
      <c r="G7" s="15"/>
      <c r="H7" s="15"/>
      <c r="I7" s="16"/>
      <c r="U7" s="1" t="s">
        <v>13</v>
      </c>
    </row>
    <row r="8" spans="2:23" x14ac:dyDescent="0.25">
      <c r="B8" s="14"/>
      <c r="C8" s="23" t="s">
        <v>111</v>
      </c>
      <c r="D8" s="79">
        <v>44609</v>
      </c>
      <c r="E8" s="6"/>
      <c r="F8" s="37" t="s">
        <v>106</v>
      </c>
      <c r="G8" s="37" t="s">
        <v>18</v>
      </c>
      <c r="H8" s="15"/>
      <c r="I8" s="16"/>
      <c r="U8" s="1" t="s">
        <v>14</v>
      </c>
    </row>
    <row r="9" spans="2:23" x14ac:dyDescent="0.25">
      <c r="B9" s="14"/>
      <c r="E9" s="6"/>
      <c r="F9" s="20" t="s">
        <v>27</v>
      </c>
      <c r="G9" s="78">
        <v>1</v>
      </c>
      <c r="H9" s="15"/>
      <c r="I9" s="16"/>
    </row>
    <row r="10" spans="2:23" x14ac:dyDescent="0.25">
      <c r="B10" s="14"/>
      <c r="C10" s="23" t="s">
        <v>151</v>
      </c>
      <c r="D10" s="23" t="s">
        <v>23</v>
      </c>
      <c r="E10" s="6"/>
      <c r="F10" s="20" t="s">
        <v>60</v>
      </c>
      <c r="G10" s="78">
        <v>1</v>
      </c>
      <c r="H10" s="15"/>
      <c r="I10" s="16"/>
    </row>
    <row r="11" spans="2:23" x14ac:dyDescent="0.25">
      <c r="B11" s="14"/>
      <c r="C11" s="20" t="s">
        <v>28</v>
      </c>
      <c r="D11" s="78">
        <v>109</v>
      </c>
      <c r="E11" s="6"/>
      <c r="F11" s="20" t="s">
        <v>83</v>
      </c>
      <c r="G11" s="78">
        <v>1</v>
      </c>
      <c r="H11" s="15"/>
      <c r="I11" s="16"/>
    </row>
    <row r="12" spans="2:23" x14ac:dyDescent="0.25">
      <c r="B12" s="14"/>
      <c r="C12" s="20" t="s">
        <v>29</v>
      </c>
      <c r="D12" s="78">
        <v>99</v>
      </c>
      <c r="E12" s="6"/>
      <c r="F12" s="38" t="s">
        <v>158</v>
      </c>
      <c r="I12" s="16"/>
    </row>
    <row r="13" spans="2:23" x14ac:dyDescent="0.25">
      <c r="B13" s="14"/>
      <c r="C13" s="20" t="s">
        <v>81</v>
      </c>
      <c r="D13" s="78">
        <v>0</v>
      </c>
      <c r="E13" s="6"/>
      <c r="F13" s="38" t="s">
        <v>84</v>
      </c>
      <c r="I13" s="16"/>
    </row>
    <row r="14" spans="2:23" x14ac:dyDescent="0.25">
      <c r="B14" s="14"/>
      <c r="C14" s="38" t="s">
        <v>152</v>
      </c>
      <c r="E14" s="6"/>
      <c r="F14" s="24" t="s">
        <v>33</v>
      </c>
      <c r="G14" s="24" t="s">
        <v>23</v>
      </c>
      <c r="I14" s="16"/>
    </row>
    <row r="15" spans="2:23" x14ac:dyDescent="0.25">
      <c r="B15" s="14"/>
      <c r="C15" s="23" t="s">
        <v>153</v>
      </c>
      <c r="D15" s="23" t="s">
        <v>23</v>
      </c>
      <c r="E15" s="6"/>
      <c r="F15" s="20" t="s">
        <v>159</v>
      </c>
      <c r="G15" s="78">
        <v>79</v>
      </c>
      <c r="I15" s="16"/>
    </row>
    <row r="16" spans="2:23" x14ac:dyDescent="0.25">
      <c r="B16" s="14"/>
      <c r="C16" s="20" t="s">
        <v>154</v>
      </c>
      <c r="D16" s="78">
        <v>3</v>
      </c>
      <c r="E16" s="6"/>
      <c r="F16" s="20" t="s">
        <v>160</v>
      </c>
      <c r="G16" s="78">
        <v>72</v>
      </c>
      <c r="H16" s="15"/>
      <c r="I16" s="16"/>
    </row>
    <row r="17" spans="2:9" x14ac:dyDescent="0.25">
      <c r="B17" s="14"/>
      <c r="C17" s="20" t="s">
        <v>155</v>
      </c>
      <c r="D17" s="78">
        <v>4</v>
      </c>
      <c r="E17" s="6"/>
      <c r="F17" s="20" t="s">
        <v>161</v>
      </c>
      <c r="G17" s="78">
        <v>3</v>
      </c>
      <c r="H17" s="15"/>
      <c r="I17" s="16"/>
    </row>
    <row r="18" spans="2:9" x14ac:dyDescent="0.25">
      <c r="B18" s="14"/>
      <c r="C18" s="38" t="s">
        <v>113</v>
      </c>
      <c r="E18" s="6"/>
      <c r="F18" s="20" t="s">
        <v>35</v>
      </c>
      <c r="G18" s="78">
        <v>4</v>
      </c>
      <c r="H18" s="15"/>
      <c r="I18" s="16"/>
    </row>
    <row r="19" spans="2:9" x14ac:dyDescent="0.25">
      <c r="B19" s="14"/>
      <c r="E19" s="6"/>
      <c r="H19" s="15"/>
      <c r="I19" s="16"/>
    </row>
    <row r="20" spans="2:9" ht="29.25" customHeight="1" x14ac:dyDescent="0.25">
      <c r="B20" s="14"/>
      <c r="C20" s="50" t="s">
        <v>32</v>
      </c>
      <c r="D20" s="50" t="s">
        <v>23</v>
      </c>
      <c r="E20" s="6"/>
      <c r="F20" s="39" t="s">
        <v>105</v>
      </c>
      <c r="G20" s="39" t="s">
        <v>163</v>
      </c>
      <c r="H20" s="40" t="s">
        <v>67</v>
      </c>
      <c r="I20" s="16"/>
    </row>
    <row r="21" spans="2:9" x14ac:dyDescent="0.25">
      <c r="B21" s="14"/>
      <c r="C21" s="60" t="s">
        <v>156</v>
      </c>
      <c r="D21" s="78">
        <v>124</v>
      </c>
      <c r="E21" s="6"/>
      <c r="F21" s="20" t="s">
        <v>63</v>
      </c>
      <c r="G21" s="78">
        <v>5</v>
      </c>
      <c r="H21" s="78">
        <v>2</v>
      </c>
      <c r="I21" s="16"/>
    </row>
    <row r="22" spans="2:9" ht="15" customHeight="1" x14ac:dyDescent="0.25">
      <c r="B22" s="14"/>
      <c r="C22" s="60" t="s">
        <v>82</v>
      </c>
      <c r="D22" s="78">
        <v>1</v>
      </c>
      <c r="E22" s="6"/>
      <c r="F22" s="20" t="s">
        <v>64</v>
      </c>
      <c r="G22" s="78">
        <v>22</v>
      </c>
      <c r="H22" s="78">
        <v>20</v>
      </c>
      <c r="I22" s="16"/>
    </row>
    <row r="23" spans="2:9" ht="24.75" x14ac:dyDescent="0.25">
      <c r="B23" s="14"/>
      <c r="C23" s="66" t="s">
        <v>157</v>
      </c>
      <c r="D23" s="66"/>
      <c r="E23" s="6"/>
      <c r="F23" s="20" t="s">
        <v>65</v>
      </c>
      <c r="G23" s="78">
        <v>47</v>
      </c>
      <c r="H23" s="78">
        <v>47</v>
      </c>
      <c r="I23" s="16"/>
    </row>
    <row r="24" spans="2:9" x14ac:dyDescent="0.25">
      <c r="B24" s="14"/>
      <c r="C24" s="15"/>
      <c r="E24" s="6"/>
      <c r="F24" s="20" t="s">
        <v>66</v>
      </c>
      <c r="G24" s="78">
        <v>1</v>
      </c>
      <c r="H24" s="78">
        <v>1</v>
      </c>
      <c r="I24" s="16"/>
    </row>
    <row r="25" spans="2:9" ht="30" customHeight="1" x14ac:dyDescent="0.25">
      <c r="B25" s="14"/>
      <c r="C25" s="68" t="str">
        <f>"Seleccione "&amp;W3&amp;" procesos teminados en el  segundo semestre de 2021 y llene la siguiente tabla:"</f>
        <v>Seleccione 4 procesos teminados en el  segundo semestre de 2021 y llene la siguiente tabla:</v>
      </c>
      <c r="D25" s="63"/>
      <c r="E25" s="6"/>
      <c r="F25" s="123" t="s">
        <v>162</v>
      </c>
      <c r="G25" s="123"/>
      <c r="H25" s="123"/>
      <c r="I25" s="16"/>
    </row>
    <row r="26" spans="2:9" ht="15.75" thickBot="1" x14ac:dyDescent="0.3">
      <c r="B26" s="14"/>
      <c r="C26" s="64"/>
      <c r="D26" s="65"/>
      <c r="E26" s="6"/>
      <c r="F26" s="61"/>
      <c r="G26" s="15"/>
      <c r="H26" s="15"/>
      <c r="I26" s="16"/>
    </row>
    <row r="27" spans="2:9" x14ac:dyDescent="0.25">
      <c r="B27" s="14"/>
      <c r="C27" s="50" t="s">
        <v>93</v>
      </c>
      <c r="D27" s="50" t="s">
        <v>23</v>
      </c>
      <c r="E27" s="6"/>
      <c r="F27" s="117" t="s">
        <v>92</v>
      </c>
      <c r="G27" s="118"/>
      <c r="H27" s="119"/>
      <c r="I27" s="16"/>
    </row>
    <row r="28" spans="2:9" x14ac:dyDescent="0.25">
      <c r="B28" s="14"/>
      <c r="C28" s="20" t="s">
        <v>85</v>
      </c>
      <c r="D28" s="78">
        <v>4</v>
      </c>
      <c r="E28" s="6"/>
      <c r="F28" s="120" t="s">
        <v>188</v>
      </c>
      <c r="G28" s="121"/>
      <c r="H28" s="121"/>
      <c r="I28" s="16"/>
    </row>
    <row r="29" spans="2:9" x14ac:dyDescent="0.25">
      <c r="B29" s="14"/>
      <c r="C29" s="20" t="s">
        <v>86</v>
      </c>
      <c r="D29" s="78">
        <v>3</v>
      </c>
      <c r="E29" s="6"/>
      <c r="F29" s="121"/>
      <c r="G29" s="121"/>
      <c r="H29" s="121"/>
      <c r="I29" s="16"/>
    </row>
    <row r="30" spans="2:9" x14ac:dyDescent="0.25">
      <c r="B30" s="14"/>
      <c r="C30" s="20" t="s">
        <v>87</v>
      </c>
      <c r="D30" s="78">
        <v>0</v>
      </c>
      <c r="E30" s="6"/>
      <c r="F30" s="121"/>
      <c r="G30" s="121"/>
      <c r="H30" s="121"/>
      <c r="I30" s="16"/>
    </row>
    <row r="31" spans="2:9" x14ac:dyDescent="0.25">
      <c r="B31" s="14"/>
      <c r="C31" s="20" t="s">
        <v>88</v>
      </c>
      <c r="D31" s="78">
        <v>0</v>
      </c>
      <c r="E31" s="6"/>
      <c r="F31" s="121"/>
      <c r="G31" s="121"/>
      <c r="H31" s="121"/>
      <c r="I31" s="16"/>
    </row>
    <row r="32" spans="2:9" x14ac:dyDescent="0.25">
      <c r="B32" s="14"/>
      <c r="C32" s="20" t="s">
        <v>89</v>
      </c>
      <c r="D32" s="78">
        <v>0</v>
      </c>
      <c r="E32" s="6"/>
      <c r="F32" s="121"/>
      <c r="G32" s="121"/>
      <c r="H32" s="121"/>
      <c r="I32" s="16"/>
    </row>
    <row r="33" spans="2:9" x14ac:dyDescent="0.25">
      <c r="B33" s="14"/>
      <c r="C33" s="15"/>
      <c r="E33" s="6"/>
      <c r="F33" s="121"/>
      <c r="G33" s="121"/>
      <c r="H33" s="121"/>
      <c r="I33" s="16"/>
    </row>
    <row r="34" spans="2:9" ht="15.75" thickBot="1" x14ac:dyDescent="0.3">
      <c r="B34" s="17"/>
      <c r="C34" s="18"/>
      <c r="D34" s="18"/>
      <c r="E34" s="18"/>
      <c r="F34" s="18"/>
      <c r="G34" s="18"/>
      <c r="H34" s="18"/>
      <c r="I34" s="19"/>
    </row>
  </sheetData>
  <sheetProtection algorithmName="SHA-512" hashValue="XBF41nNb+oM9W4bsjhJQYEs62RY6vNKkdxY+QBvLebA6UVCX8pT0VcHFlVGR/BBGTTD/NcRUs/vA7RtnYQti/A==" saltValue="pMXht+w1d5Ih1rsoRXgsFQ=="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formula1>44580</formula1>
      <formula2>44642</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workbookViewId="0">
      <selection activeCell="C21" sqref="C21"/>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10</v>
      </c>
    </row>
    <row r="3" spans="2:22" x14ac:dyDescent="0.25">
      <c r="B3" s="14"/>
      <c r="C3" s="15"/>
      <c r="D3" s="15"/>
      <c r="E3" s="15"/>
      <c r="F3" s="15"/>
      <c r="G3" s="15"/>
      <c r="H3" s="16"/>
      <c r="V3" s="28">
        <f>+IF(V2&lt;=20,V2,IF(ROUNDDOWN(V2*10%,0)&lt;20,20,ROUNDDOWN(V2*10%,0)))</f>
        <v>10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22" t="s">
        <v>177</v>
      </c>
      <c r="D7" s="122"/>
      <c r="E7" s="122"/>
      <c r="F7" s="122"/>
      <c r="G7" s="122"/>
      <c r="H7" s="33"/>
    </row>
    <row r="8" spans="2:22" x14ac:dyDescent="0.25">
      <c r="B8" s="14"/>
      <c r="C8" s="15"/>
      <c r="D8" s="15"/>
      <c r="E8" s="89" t="s">
        <v>148</v>
      </c>
      <c r="H8" s="16"/>
      <c r="T8" s="1" t="s">
        <v>13</v>
      </c>
    </row>
    <row r="9" spans="2:22" ht="15" customHeight="1" x14ac:dyDescent="0.25">
      <c r="B9" s="14"/>
      <c r="C9" s="23" t="s">
        <v>178</v>
      </c>
      <c r="D9" s="23" t="s">
        <v>23</v>
      </c>
      <c r="E9" s="6"/>
      <c r="F9" s="104" t="str">
        <f>"Seleccione una muestra de "&amp;V3&amp;" prejudiciales activos registrados antes de 1 de julio de 2021 y complete la siguiente tabla"</f>
        <v>Seleccione una muestra de 10 prejudiciales activos registrados antes de 1 de julio de 2021 y complete la siguiente tabla</v>
      </c>
      <c r="G9" s="105"/>
      <c r="H9" s="16"/>
      <c r="T9" s="1" t="s">
        <v>14</v>
      </c>
    </row>
    <row r="10" spans="2:22" x14ac:dyDescent="0.25">
      <c r="B10" s="14"/>
      <c r="C10" s="20" t="s">
        <v>54</v>
      </c>
      <c r="D10" s="78">
        <v>10</v>
      </c>
      <c r="E10" s="6"/>
      <c r="F10" s="106"/>
      <c r="G10" s="107"/>
      <c r="H10" s="16"/>
    </row>
    <row r="11" spans="2:22" x14ac:dyDescent="0.25">
      <c r="B11" s="14"/>
      <c r="C11" s="20" t="s">
        <v>55</v>
      </c>
      <c r="D11" s="78">
        <v>11</v>
      </c>
      <c r="E11" s="6"/>
      <c r="F11" s="24" t="s">
        <v>32</v>
      </c>
      <c r="G11" s="24" t="s">
        <v>57</v>
      </c>
      <c r="H11" s="16"/>
    </row>
    <row r="12" spans="2:22" x14ac:dyDescent="0.25">
      <c r="B12" s="14"/>
      <c r="C12" s="20" t="s">
        <v>164</v>
      </c>
      <c r="D12" s="78">
        <v>1</v>
      </c>
      <c r="E12" s="6"/>
      <c r="F12" s="36" t="s">
        <v>58</v>
      </c>
      <c r="G12" s="78">
        <v>0</v>
      </c>
      <c r="H12" s="16"/>
    </row>
    <row r="13" spans="2:22" x14ac:dyDescent="0.25">
      <c r="B13" s="14"/>
      <c r="C13" s="20" t="s">
        <v>181</v>
      </c>
      <c r="D13" s="78">
        <v>9</v>
      </c>
      <c r="E13" s="6"/>
      <c r="F13" s="20" t="s">
        <v>180</v>
      </c>
      <c r="G13" s="78">
        <v>10</v>
      </c>
      <c r="H13" s="16"/>
    </row>
    <row r="14" spans="2:22" x14ac:dyDescent="0.25">
      <c r="B14" s="14"/>
      <c r="C14" s="20" t="s">
        <v>165</v>
      </c>
      <c r="D14" s="78">
        <v>1</v>
      </c>
      <c r="E14" s="6"/>
      <c r="F14"/>
      <c r="G14"/>
      <c r="H14" s="16"/>
    </row>
    <row r="15" spans="2:22" x14ac:dyDescent="0.25">
      <c r="B15" s="14"/>
      <c r="E15" s="6"/>
      <c r="F15"/>
      <c r="G15"/>
      <c r="H15" s="16"/>
    </row>
    <row r="16" spans="2:22" x14ac:dyDescent="0.25">
      <c r="B16" s="14"/>
      <c r="C16" s="23" t="s">
        <v>179</v>
      </c>
      <c r="D16" s="23" t="s">
        <v>23</v>
      </c>
      <c r="E16" s="6"/>
      <c r="F16" s="124" t="s">
        <v>92</v>
      </c>
      <c r="G16" s="124"/>
      <c r="H16" s="16"/>
    </row>
    <row r="17" spans="2:8" x14ac:dyDescent="0.25">
      <c r="B17" s="14"/>
      <c r="C17" s="20" t="s">
        <v>166</v>
      </c>
      <c r="D17" s="78">
        <v>3</v>
      </c>
      <c r="E17" s="6"/>
      <c r="F17" s="120" t="s">
        <v>192</v>
      </c>
      <c r="G17" s="121"/>
      <c r="H17" s="16"/>
    </row>
    <row r="18" spans="2:8" x14ac:dyDescent="0.25">
      <c r="B18" s="14"/>
      <c r="C18" s="20" t="s">
        <v>167</v>
      </c>
      <c r="D18" s="78">
        <v>23</v>
      </c>
      <c r="E18" s="6"/>
      <c r="F18" s="121"/>
      <c r="G18" s="121"/>
      <c r="H18" s="16"/>
    </row>
    <row r="19" spans="2:8" x14ac:dyDescent="0.25">
      <c r="B19" s="14"/>
      <c r="C19"/>
      <c r="D19"/>
      <c r="E19" s="6"/>
      <c r="F19" s="121"/>
      <c r="G19" s="121"/>
      <c r="H19" s="16"/>
    </row>
    <row r="20" spans="2:8" x14ac:dyDescent="0.25">
      <c r="B20" s="14"/>
      <c r="C20"/>
      <c r="D20"/>
      <c r="E20" s="6"/>
      <c r="F20" s="121"/>
      <c r="G20" s="121"/>
      <c r="H20" s="16"/>
    </row>
    <row r="21" spans="2:8" x14ac:dyDescent="0.25">
      <c r="B21" s="14"/>
      <c r="E21" s="6"/>
      <c r="F21" s="121"/>
      <c r="G21" s="121"/>
      <c r="H21" s="16"/>
    </row>
    <row r="22" spans="2:8" x14ac:dyDescent="0.25">
      <c r="B22" s="14"/>
      <c r="C22" s="15"/>
      <c r="D22" s="15"/>
      <c r="E22" s="6"/>
      <c r="F22" s="121"/>
      <c r="G22" s="121"/>
      <c r="H22" s="16"/>
    </row>
    <row r="23" spans="2:8" ht="15.75" thickBot="1" x14ac:dyDescent="0.3">
      <c r="B23" s="17"/>
      <c r="C23" s="18"/>
      <c r="D23" s="18"/>
      <c r="E23" s="18"/>
      <c r="F23" s="18"/>
      <c r="G23" s="18"/>
      <c r="H23" s="19"/>
    </row>
  </sheetData>
  <sheetProtection algorithmName="SHA-512" hashValue="RTxvkA/X6xl2+KfdbiHdJ6sbvecern8CNICPPfFAOQJxypM+eH9yXKnnLB3GHhoPJhALHrzKXVh8l3sCPJ2Idw==" saltValue="3APmjS7xF8RN9CH5Y9wtN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70</v>
      </c>
      <c r="D6" s="35"/>
      <c r="E6" s="26"/>
      <c r="F6"/>
      <c r="G6"/>
      <c r="H6" s="33"/>
    </row>
    <row r="7" spans="2:22" x14ac:dyDescent="0.25">
      <c r="B7" s="14"/>
      <c r="C7" s="15" t="s">
        <v>148</v>
      </c>
      <c r="D7" s="15"/>
      <c r="E7" s="15"/>
      <c r="F7"/>
      <c r="G7"/>
      <c r="H7" s="16"/>
      <c r="T7" s="1" t="s">
        <v>13</v>
      </c>
    </row>
    <row r="8" spans="2:22" x14ac:dyDescent="0.25">
      <c r="B8" s="14"/>
      <c r="C8" s="23" t="s">
        <v>70</v>
      </c>
      <c r="D8" s="23" t="s">
        <v>23</v>
      </c>
      <c r="E8" s="6"/>
      <c r="F8" s="23" t="s">
        <v>70</v>
      </c>
      <c r="G8" s="23" t="s">
        <v>23</v>
      </c>
      <c r="H8" s="16"/>
      <c r="T8" s="1" t="s">
        <v>14</v>
      </c>
    </row>
    <row r="9" spans="2:22" x14ac:dyDescent="0.25">
      <c r="B9" s="14"/>
      <c r="C9" s="20" t="s">
        <v>168</v>
      </c>
      <c r="D9" s="78">
        <v>0</v>
      </c>
      <c r="E9" s="6"/>
      <c r="F9" s="20" t="s">
        <v>169</v>
      </c>
      <c r="G9" s="78">
        <v>0</v>
      </c>
      <c r="H9" s="16"/>
    </row>
    <row r="10" spans="2:22" x14ac:dyDescent="0.25">
      <c r="B10" s="14"/>
      <c r="C10" s="20" t="s">
        <v>72</v>
      </c>
      <c r="D10" s="78">
        <v>0</v>
      </c>
      <c r="E10" s="6"/>
      <c r="F10" s="20" t="s">
        <v>90</v>
      </c>
      <c r="G10" s="78">
        <v>1</v>
      </c>
      <c r="H10" s="16"/>
    </row>
    <row r="11" spans="2:22" x14ac:dyDescent="0.25">
      <c r="B11" s="14"/>
      <c r="C11" s="15"/>
      <c r="D11" s="55"/>
      <c r="E11" s="6"/>
      <c r="F11" s="15"/>
      <c r="G11" s="56"/>
      <c r="H11" s="16"/>
    </row>
    <row r="12" spans="2:22" x14ac:dyDescent="0.25">
      <c r="B12" s="14"/>
      <c r="C12" s="57" t="s">
        <v>94</v>
      </c>
      <c r="D12" s="55"/>
      <c r="E12" s="6"/>
      <c r="F12" s="15"/>
      <c r="G12" s="56"/>
      <c r="H12" s="16"/>
      <c r="T12" s="1">
        <f>IF(D9="",0,1)</f>
        <v>1</v>
      </c>
    </row>
    <row r="13" spans="2:22" x14ac:dyDescent="0.25">
      <c r="B13" s="14"/>
      <c r="C13" s="108" t="s">
        <v>189</v>
      </c>
      <c r="D13" s="109"/>
      <c r="E13" s="109"/>
      <c r="F13" s="109"/>
      <c r="G13" s="110"/>
      <c r="H13" s="16"/>
    </row>
    <row r="14" spans="2:22" x14ac:dyDescent="0.25">
      <c r="B14" s="14"/>
      <c r="C14" s="111"/>
      <c r="D14" s="112"/>
      <c r="E14" s="112"/>
      <c r="F14" s="112"/>
      <c r="G14" s="113"/>
      <c r="H14" s="16"/>
    </row>
    <row r="15" spans="2:22" x14ac:dyDescent="0.25">
      <c r="B15" s="14"/>
      <c r="C15" s="111"/>
      <c r="D15" s="112"/>
      <c r="E15" s="112"/>
      <c r="F15" s="112"/>
      <c r="G15" s="113"/>
      <c r="H15" s="16"/>
    </row>
    <row r="16" spans="2:22" x14ac:dyDescent="0.25">
      <c r="B16" s="14"/>
      <c r="C16" s="114"/>
      <c r="D16" s="115"/>
      <c r="E16" s="115"/>
      <c r="F16" s="115"/>
      <c r="G16" s="116"/>
      <c r="H16" s="16"/>
      <c r="T16" s="1">
        <f>IF(G9="",0,1)</f>
        <v>1</v>
      </c>
    </row>
    <row r="17" spans="2:20" ht="15.75" thickBot="1" x14ac:dyDescent="0.3">
      <c r="B17" s="17"/>
      <c r="C17" s="18"/>
      <c r="D17" s="18"/>
      <c r="E17" s="18"/>
      <c r="F17" s="18"/>
      <c r="G17" s="18"/>
      <c r="H17" s="19"/>
      <c r="T17" s="1">
        <f>+T12+T16</f>
        <v>2</v>
      </c>
    </row>
  </sheetData>
  <sheetProtection algorithmName="SHA-512" hashValue="6ZcsWdIGr0G8GN+aSGf97CECkSNgVAzqC6t9ixF98PlLneYYyrSdMnHt56kYG6UzNYLxxm5cHQZZfeu+4m80kQ==" saltValue="3tqLDwW1B4WLnP5vNc8k0w=="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4</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22" t="s">
        <v>8</v>
      </c>
      <c r="D6" s="122"/>
      <c r="E6" s="26"/>
      <c r="F6"/>
      <c r="G6"/>
      <c r="H6" s="33"/>
      <c r="T6" s="1" t="s">
        <v>12</v>
      </c>
    </row>
    <row r="7" spans="2:22" x14ac:dyDescent="0.25">
      <c r="B7" s="14"/>
      <c r="C7" s="15" t="s">
        <v>148</v>
      </c>
      <c r="D7" s="15"/>
      <c r="E7" s="15"/>
      <c r="F7" s="58" t="s">
        <v>94</v>
      </c>
      <c r="G7"/>
      <c r="H7" s="16"/>
      <c r="T7" s="1" t="s">
        <v>13</v>
      </c>
    </row>
    <row r="8" spans="2:22" x14ac:dyDescent="0.25">
      <c r="B8" s="14"/>
      <c r="C8" s="23" t="s">
        <v>31</v>
      </c>
      <c r="D8" s="23" t="s">
        <v>23</v>
      </c>
      <c r="E8" s="6"/>
      <c r="F8" s="125" t="s">
        <v>193</v>
      </c>
      <c r="G8" s="110"/>
      <c r="H8" s="16"/>
      <c r="T8" s="1" t="s">
        <v>14</v>
      </c>
    </row>
    <row r="9" spans="2:22" x14ac:dyDescent="0.25">
      <c r="B9" s="14"/>
      <c r="C9" s="20" t="s">
        <v>74</v>
      </c>
      <c r="D9" s="78" t="s">
        <v>12</v>
      </c>
      <c r="E9" s="6"/>
      <c r="F9" s="111"/>
      <c r="G9" s="113"/>
      <c r="H9" s="16"/>
    </row>
    <row r="10" spans="2:22" x14ac:dyDescent="0.25">
      <c r="B10" s="14"/>
      <c r="C10" s="20" t="s">
        <v>173</v>
      </c>
      <c r="D10" s="78">
        <v>4</v>
      </c>
      <c r="E10" s="6"/>
      <c r="F10" s="114"/>
      <c r="G10" s="116"/>
      <c r="H10" s="16"/>
    </row>
    <row r="11" spans="2:22" ht="15.75" thickBot="1" x14ac:dyDescent="0.3">
      <c r="B11" s="17"/>
      <c r="C11" s="18"/>
      <c r="D11" s="18"/>
      <c r="E11" s="18"/>
      <c r="F11" s="18"/>
      <c r="G11" s="18"/>
      <c r="H11" s="19"/>
    </row>
  </sheetData>
  <sheetProtection algorithmName="SHA-512" hashValue="f23xZ8ZGez4/ugrRSeNHNSFC5P6zK3PlnV1v5jm/nMY208v20MkKx1TkUjozEjkoZyWA5UKJDdR01qKLB0dGmA==" saltValue="OkVslLPAPPXMYR5Z1l05zA==" spinCount="100000" sheet="1"/>
  <mergeCells count="2">
    <mergeCell ref="C6:D6"/>
    <mergeCell ref="F8:G10"/>
  </mergeCells>
  <conditionalFormatting sqref="D10">
    <cfRule type="containsBlanks" dxfId="5" priority="3">
      <formula>LEN(TRIM(D10))=0</formula>
    </cfRule>
  </conditionalFormatting>
  <conditionalFormatting sqref="D9">
    <cfRule type="containsBlanks" dxfId="4" priority="2">
      <formula>LEN(TRIM(D9))=0</formula>
    </cfRule>
  </conditionalFormatting>
  <conditionalFormatting sqref="F8">
    <cfRule type="containsBlanks" dxfId="3" priority="1">
      <formula>LEN(TRIM(F8))=0</formula>
    </cfRule>
  </conditionalFormatting>
  <dataValidations count="2">
    <dataValidation type="list" showInputMessage="1" showErrorMessage="1" promptTitle="Gestiona o No Pagos" prompt="Indique si su entidad Gestiona o No pagos o reliza Informes a traves de SIIF" sqref="D9">
      <formula1>$T$6:$T$7</formula1>
    </dataValidation>
    <dataValidation type="whole" operator="greaterThanOrEqual" showInputMessage="1" showErrorMessage="1" errorTitle="Numero Invalido" promptTitle="Ingrese la cantidad Solicitada" prompt="Ingrese la cantidad Solicitada" sqref="D10">
      <formula1>0</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6"/>
  <sheetViews>
    <sheetView showGridLines="0" workbookViewId="0">
      <selection activeCell="B23" sqref="B23:F26"/>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7" t="s">
        <v>10</v>
      </c>
      <c r="C2" s="127"/>
      <c r="D2" s="127"/>
      <c r="E2" s="127"/>
      <c r="F2" s="127"/>
      <c r="G2" s="127"/>
      <c r="H2" s="46"/>
      <c r="I2" s="46"/>
      <c r="J2" s="46"/>
      <c r="K2" s="46"/>
      <c r="L2" s="46"/>
      <c r="M2" s="47"/>
    </row>
    <row r="3" spans="2:13" ht="18.75" x14ac:dyDescent="0.3">
      <c r="B3" s="127" t="s">
        <v>11</v>
      </c>
      <c r="C3" s="127"/>
      <c r="D3" s="127"/>
      <c r="E3" s="127"/>
      <c r="F3" s="127"/>
      <c r="G3" s="127"/>
      <c r="H3" s="46"/>
      <c r="I3" s="46"/>
      <c r="J3" s="46"/>
      <c r="K3" s="46"/>
      <c r="L3" s="46"/>
      <c r="M3" s="47"/>
    </row>
    <row r="4" spans="2:13" ht="23.25" x14ac:dyDescent="0.35">
      <c r="B4" s="41"/>
      <c r="C4" s="90"/>
      <c r="D4" s="90" t="s">
        <v>172</v>
      </c>
      <c r="E4" s="41"/>
      <c r="F4" s="41"/>
      <c r="G4" s="41"/>
      <c r="H4" s="41"/>
      <c r="I4" s="41"/>
      <c r="J4" s="41"/>
      <c r="K4" s="41"/>
      <c r="L4" s="41"/>
      <c r="M4" s="41"/>
    </row>
    <row r="5" spans="2:13" ht="15.75" thickBot="1" x14ac:dyDescent="0.3">
      <c r="B5" t="s">
        <v>170</v>
      </c>
      <c r="C5" s="126" t="s">
        <v>190</v>
      </c>
      <c r="D5" s="126"/>
      <c r="E5" s="126"/>
      <c r="F5" s="126"/>
      <c r="G5" s="126"/>
      <c r="H5" s="6"/>
      <c r="I5" s="6"/>
      <c r="J5" s="6"/>
    </row>
    <row r="6" spans="2:13" ht="15.75" thickBot="1" x14ac:dyDescent="0.3">
      <c r="B6" t="s">
        <v>171</v>
      </c>
      <c r="C6" s="126" t="s">
        <v>191</v>
      </c>
      <c r="D6" s="126"/>
      <c r="E6" s="126"/>
      <c r="F6" s="126"/>
      <c r="G6" s="126"/>
      <c r="H6" s="45"/>
      <c r="I6" s="45"/>
      <c r="J6" s="45"/>
    </row>
    <row r="7" spans="2:13" x14ac:dyDescent="0.25">
      <c r="H7" s="6"/>
      <c r="I7" s="6"/>
      <c r="J7" s="6"/>
    </row>
    <row r="8" spans="2:13" x14ac:dyDescent="0.25">
      <c r="B8" t="s">
        <v>38</v>
      </c>
      <c r="C8" s="44" t="str">
        <f>+IF(SUM(USUARIOS!I12:J17)=0,"Falta diligenciar","")</f>
        <v/>
      </c>
      <c r="E8" t="s">
        <v>77</v>
      </c>
      <c r="F8" s="44" t="str">
        <f>+IF(PREJUDICIALES!$D$10="","Falta  actualizar","")</f>
        <v/>
      </c>
    </row>
    <row r="9" spans="2:13" x14ac:dyDescent="0.25">
      <c r="B9" s="43" t="s">
        <v>41</v>
      </c>
      <c r="C9" s="88">
        <f>+SUM(USUARIOS!I12:I17)/(6-SUM(USUARIOS!H12:H17))</f>
        <v>1</v>
      </c>
      <c r="E9" s="43" t="s">
        <v>46</v>
      </c>
      <c r="F9" s="87">
        <f>+PREJUDICIALES!$D$11</f>
        <v>11</v>
      </c>
    </row>
    <row r="10" spans="2:13" x14ac:dyDescent="0.25">
      <c r="B10" s="43" t="s">
        <v>39</v>
      </c>
      <c r="C10" s="87">
        <f>+ABOGADOS!$D$12+SUM(USUARIOS!I12:I17)</f>
        <v>13</v>
      </c>
      <c r="E10" s="43" t="s">
        <v>44</v>
      </c>
      <c r="F10" s="88">
        <f>IFERROR(PREJUDICIALES!$D$11/PREJUDICIALES!$D$10,"")</f>
        <v>1.1000000000000001</v>
      </c>
    </row>
    <row r="11" spans="2:13" x14ac:dyDescent="0.25">
      <c r="B11" s="43" t="s">
        <v>9</v>
      </c>
      <c r="C11" s="87" t="s">
        <v>108</v>
      </c>
      <c r="E11" s="43" t="s">
        <v>47</v>
      </c>
      <c r="F11" s="88">
        <f>IFERROR(PREJUDICIALES!$G$13/PREJUDICIALES!$V$3,"")</f>
        <v>1</v>
      </c>
    </row>
    <row r="12" spans="2:13" x14ac:dyDescent="0.25">
      <c r="B12" s="43" t="s">
        <v>40</v>
      </c>
      <c r="C12" s="88">
        <f>IFERROR((ABOGADOS!$G$17+ABOGADOS!$G$18+ABOGADOS!$G$19*0.5)/ABOGADOS!D12,"")</f>
        <v>0.7142857142857143</v>
      </c>
    </row>
    <row r="13" spans="2:13" x14ac:dyDescent="0.25">
      <c r="E13" t="s">
        <v>70</v>
      </c>
      <c r="F13" s="44" t="str">
        <f>+IF(ARBITRAMENTOS!T17=0,"Falta  actualizar","")</f>
        <v/>
      </c>
    </row>
    <row r="14" spans="2:13" x14ac:dyDescent="0.25">
      <c r="B14" t="s">
        <v>76</v>
      </c>
      <c r="C14" s="44" t="str">
        <f>+IF(JUDICIALES!$D$11="","Falta  actualizar","")</f>
        <v/>
      </c>
      <c r="E14" s="43" t="s">
        <v>45</v>
      </c>
      <c r="F14" s="87">
        <f>+ARBITRAMENTOS!D10</f>
        <v>0</v>
      </c>
    </row>
    <row r="15" spans="2:13" x14ac:dyDescent="0.25">
      <c r="B15" s="43" t="s">
        <v>42</v>
      </c>
      <c r="C15" s="87">
        <f>+JUDICIALES!$D$12</f>
        <v>99</v>
      </c>
      <c r="E15" s="43" t="s">
        <v>44</v>
      </c>
      <c r="F15" s="88" t="str">
        <f>IFERROR(ARBITRAMENTOS!D10/ARBITRAMENTOS!D9,"")</f>
        <v/>
      </c>
    </row>
    <row r="16" spans="2:13" x14ac:dyDescent="0.25">
      <c r="B16" s="43" t="s">
        <v>44</v>
      </c>
      <c r="C16" s="88">
        <f>IFERROR(JUDICIALES!$D$12/JUDICIALES!$D$11,"")</f>
        <v>0.90825688073394495</v>
      </c>
    </row>
    <row r="17" spans="2:6" x14ac:dyDescent="0.25">
      <c r="B17" s="43" t="s">
        <v>50</v>
      </c>
      <c r="C17" s="88">
        <f>IFERROR(JUDICIALES!$G$11/JUDICIALES!$G$10,"")</f>
        <v>1</v>
      </c>
      <c r="E17" t="s">
        <v>73</v>
      </c>
      <c r="F17" s="44" t="str">
        <f>+IF(PAGOS!D9="","Falta  actualizar","")</f>
        <v/>
      </c>
    </row>
    <row r="18" spans="2:6" x14ac:dyDescent="0.25">
      <c r="B18" s="43" t="s">
        <v>43</v>
      </c>
      <c r="C18" s="87">
        <f>IFERROR(C15/ABOGADOS!$D$12,"")</f>
        <v>14.142857142857142</v>
      </c>
      <c r="E18" s="43" t="s">
        <v>48</v>
      </c>
      <c r="F18" s="87">
        <f>+PAGOS!D10</f>
        <v>4</v>
      </c>
    </row>
    <row r="19" spans="2:6" x14ac:dyDescent="0.25">
      <c r="B19" s="43" t="s">
        <v>75</v>
      </c>
      <c r="C19" s="88">
        <f>IFERROR(1-(JUDICIALES!$H$22+JUDICIALES!$H$23+JUDICIALES!$H$24)/(JUDICIALES!$G$22+JUDICIALES!$G$23+JUDICIALES!$G$24),"")</f>
        <v>2.8571428571428581E-2</v>
      </c>
      <c r="E19" s="43" t="s">
        <v>49</v>
      </c>
      <c r="F19" s="87" t="str">
        <f>+IF(PAGOS!D9="No","No aplica","si")</f>
        <v>si</v>
      </c>
    </row>
    <row r="21" spans="2:6" ht="15.75" thickBot="1" x14ac:dyDescent="0.3"/>
    <row r="22" spans="2:6" x14ac:dyDescent="0.25">
      <c r="B22" s="2" t="s">
        <v>94</v>
      </c>
      <c r="C22" s="3"/>
      <c r="D22" s="3"/>
      <c r="E22" s="3"/>
      <c r="F22" s="4"/>
    </row>
    <row r="23" spans="2:6" x14ac:dyDescent="0.25">
      <c r="B23" s="125" t="s">
        <v>196</v>
      </c>
      <c r="C23" s="109"/>
      <c r="D23" s="109"/>
      <c r="E23" s="109"/>
      <c r="F23" s="110"/>
    </row>
    <row r="24" spans="2:6" x14ac:dyDescent="0.25">
      <c r="B24" s="111"/>
      <c r="C24" s="112"/>
      <c r="D24" s="112"/>
      <c r="E24" s="112"/>
      <c r="F24" s="113"/>
    </row>
    <row r="25" spans="2:6" x14ac:dyDescent="0.25">
      <c r="B25" s="111"/>
      <c r="C25" s="112"/>
      <c r="D25" s="112"/>
      <c r="E25" s="112"/>
      <c r="F25" s="113"/>
    </row>
    <row r="26" spans="2:6" x14ac:dyDescent="0.25">
      <c r="B26" s="114"/>
      <c r="C26" s="115"/>
      <c r="D26" s="115"/>
      <c r="E26" s="115"/>
      <c r="F26" s="116"/>
    </row>
  </sheetData>
  <sheetProtection algorithmName="SHA-512" hashValue="xLp+iVXktoCHjSyisMzeUqB3TFHZ3ECZVWfGHLrfjAZjidIlu5D3CLoewvx3qakIhGiDVMcS9XCeM/RFc9I93g==" saltValue="sgud4LPzkaR+TgKL0MQL3A=="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O18"/>
  <sheetViews>
    <sheetView topLeftCell="AW1" zoomScaleNormal="100" workbookViewId="0">
      <selection activeCell="BI3" sqref="BI3"/>
    </sheetView>
  </sheetViews>
  <sheetFormatPr baseColWidth="10" defaultColWidth="10.7109375" defaultRowHeight="15" x14ac:dyDescent="0.25"/>
  <cols>
    <col min="1" max="1" width="34.5703125" style="69" customWidth="1"/>
    <col min="2" max="2" width="29.5703125" style="69" customWidth="1"/>
    <col min="3" max="16384" width="10.7109375" style="69"/>
  </cols>
  <sheetData>
    <row r="2" spans="1:67" x14ac:dyDescent="0.25">
      <c r="A2" s="72" t="s">
        <v>37</v>
      </c>
      <c r="B2" s="72" t="s">
        <v>112</v>
      </c>
      <c r="C2" s="72" t="s">
        <v>21</v>
      </c>
      <c r="D2" s="72" t="s">
        <v>22</v>
      </c>
      <c r="E2" s="72" t="s">
        <v>26</v>
      </c>
      <c r="F2" s="72" t="s">
        <v>20</v>
      </c>
      <c r="G2" s="72" t="s">
        <v>101</v>
      </c>
      <c r="H2" s="73" t="s">
        <v>102</v>
      </c>
      <c r="I2" s="74" t="s">
        <v>114</v>
      </c>
      <c r="J2" s="74" t="s">
        <v>115</v>
      </c>
      <c r="K2" s="74" t="s">
        <v>116</v>
      </c>
      <c r="L2" s="74" t="s">
        <v>117</v>
      </c>
      <c r="M2" s="74" t="s">
        <v>118</v>
      </c>
      <c r="N2" s="74" t="s">
        <v>119</v>
      </c>
      <c r="O2" s="74" t="s">
        <v>120</v>
      </c>
      <c r="P2" s="72" t="s">
        <v>28</v>
      </c>
      <c r="Q2" s="72" t="s">
        <v>29</v>
      </c>
      <c r="R2" s="72" t="s">
        <v>30</v>
      </c>
      <c r="S2" s="72" t="s">
        <v>121</v>
      </c>
      <c r="T2" s="72" t="s">
        <v>122</v>
      </c>
      <c r="U2" s="72" t="s">
        <v>36</v>
      </c>
      <c r="V2" s="72" t="s">
        <v>123</v>
      </c>
      <c r="W2" s="72" t="s">
        <v>85</v>
      </c>
      <c r="X2" s="72" t="s">
        <v>86</v>
      </c>
      <c r="Y2" s="72" t="s">
        <v>87</v>
      </c>
      <c r="Z2" s="72" t="s">
        <v>88</v>
      </c>
      <c r="AA2" s="72" t="s">
        <v>89</v>
      </c>
      <c r="AB2" s="74" t="s">
        <v>124</v>
      </c>
      <c r="AC2" s="74" t="s">
        <v>125</v>
      </c>
      <c r="AD2" s="74" t="s">
        <v>126</v>
      </c>
      <c r="AE2" s="72" t="s">
        <v>34</v>
      </c>
      <c r="AF2" s="72" t="s">
        <v>61</v>
      </c>
      <c r="AG2" s="72" t="s">
        <v>62</v>
      </c>
      <c r="AH2" s="72" t="s">
        <v>35</v>
      </c>
      <c r="AI2" s="72" t="s">
        <v>127</v>
      </c>
      <c r="AJ2" s="72" t="s">
        <v>128</v>
      </c>
      <c r="AK2" s="72" t="s">
        <v>129</v>
      </c>
      <c r="AL2" s="72" t="s">
        <v>130</v>
      </c>
      <c r="AM2" s="72" t="s">
        <v>131</v>
      </c>
      <c r="AN2" s="72" t="s">
        <v>132</v>
      </c>
      <c r="AO2" s="72" t="s">
        <v>133</v>
      </c>
      <c r="AP2" s="72" t="s">
        <v>134</v>
      </c>
      <c r="AQ2" s="75" t="s">
        <v>54</v>
      </c>
      <c r="AR2" s="75" t="s">
        <v>55</v>
      </c>
      <c r="AS2" s="75" t="s">
        <v>51</v>
      </c>
      <c r="AT2" s="75" t="s">
        <v>52</v>
      </c>
      <c r="AU2" s="75" t="s">
        <v>53</v>
      </c>
      <c r="AV2" s="75" t="s">
        <v>56</v>
      </c>
      <c r="AW2" s="75" t="s">
        <v>69</v>
      </c>
      <c r="AX2" s="75" t="s">
        <v>58</v>
      </c>
      <c r="AY2" s="75" t="s">
        <v>59</v>
      </c>
      <c r="AZ2" s="75" t="s">
        <v>71</v>
      </c>
      <c r="BA2" s="75" t="s">
        <v>72</v>
      </c>
      <c r="BB2" s="76" t="s">
        <v>135</v>
      </c>
      <c r="BC2" s="76" t="s">
        <v>90</v>
      </c>
      <c r="BD2" s="77" t="s">
        <v>136</v>
      </c>
      <c r="BE2" s="77" t="s">
        <v>137</v>
      </c>
      <c r="BF2" s="77" t="s">
        <v>138</v>
      </c>
      <c r="BG2" s="77" t="s">
        <v>139</v>
      </c>
      <c r="BH2" s="77" t="s">
        <v>140</v>
      </c>
      <c r="BI2" s="77" t="s">
        <v>141</v>
      </c>
      <c r="BJ2" s="77" t="s">
        <v>142</v>
      </c>
      <c r="BK2" s="77" t="s">
        <v>143</v>
      </c>
      <c r="BL2" s="77" t="s">
        <v>144</v>
      </c>
      <c r="BM2" s="77" t="s">
        <v>145</v>
      </c>
      <c r="BN2" s="77" t="s">
        <v>146</v>
      </c>
      <c r="BO2" s="77" t="s">
        <v>147</v>
      </c>
    </row>
    <row r="3" spans="1:67" x14ac:dyDescent="0.25">
      <c r="A3" s="69" t="str">
        <f>'Resumen General'!C5</f>
        <v>AGENCIA LOGISTICA DE LAS FUERZAS MILITARES</v>
      </c>
      <c r="B3" s="69" t="str">
        <f>'Resumen General'!C6</f>
        <v>ALEJANDRO ULISES MURILLO DEVIA.</v>
      </c>
      <c r="C3" s="69">
        <f>+ABOGADOS!D11</f>
        <v>7</v>
      </c>
      <c r="D3" s="69">
        <f>+ABOGADOS!D12</f>
        <v>7</v>
      </c>
      <c r="E3" s="69">
        <f>+ABOGADOS!D13</f>
        <v>7</v>
      </c>
      <c r="F3" s="69">
        <f>+ABOGADOS!D14</f>
        <v>0</v>
      </c>
      <c r="G3" s="69">
        <f>+ABOGADOS!D17</f>
        <v>1</v>
      </c>
      <c r="H3" s="69">
        <f>+ABOGADOS!D18</f>
        <v>1</v>
      </c>
      <c r="I3" s="69">
        <f>+ABOGADOS!G10</f>
        <v>7</v>
      </c>
      <c r="J3" s="69">
        <f>+ABOGADOS!G11</f>
        <v>7</v>
      </c>
      <c r="K3" s="69">
        <f>+ABOGADOS!G12</f>
        <v>7</v>
      </c>
      <c r="L3" s="69">
        <f>+ABOGADOS!G17</f>
        <v>5</v>
      </c>
      <c r="M3" s="69">
        <f>+ABOGADOS!G18</f>
        <v>0</v>
      </c>
      <c r="N3" s="69">
        <f>+ABOGADOS!G19</f>
        <v>0</v>
      </c>
      <c r="O3" s="69">
        <f>+ABOGADOS!G21</f>
        <v>0</v>
      </c>
      <c r="P3" s="69">
        <f>+JUDICIALES!D11</f>
        <v>109</v>
      </c>
      <c r="Q3" s="69">
        <f>+JUDICIALES!D12</f>
        <v>99</v>
      </c>
      <c r="R3" s="69">
        <f>+JUDICIALES!D13</f>
        <v>0</v>
      </c>
      <c r="S3" s="69">
        <f>+JUDICIALES!D16</f>
        <v>3</v>
      </c>
      <c r="T3" s="69">
        <f>+JUDICIALES!D17</f>
        <v>4</v>
      </c>
      <c r="U3" s="69">
        <f>+JUDICIALES!D21</f>
        <v>124</v>
      </c>
      <c r="V3" s="69">
        <f>+JUDICIALES!D22</f>
        <v>1</v>
      </c>
      <c r="W3" s="69">
        <f>JUDICIALES!D28</f>
        <v>4</v>
      </c>
      <c r="X3" s="69">
        <f>JUDICIALES!D29</f>
        <v>3</v>
      </c>
      <c r="Y3" s="69">
        <f>JUDICIALES!D30</f>
        <v>0</v>
      </c>
      <c r="Z3" s="69">
        <f>JUDICIALES!D31</f>
        <v>0</v>
      </c>
      <c r="AA3" s="69">
        <f>JUDICIALES!D32</f>
        <v>0</v>
      </c>
      <c r="AB3" s="69">
        <f>+JUDICIALES!G9</f>
        <v>1</v>
      </c>
      <c r="AC3" s="69">
        <f>+JUDICIALES!G10</f>
        <v>1</v>
      </c>
      <c r="AD3" s="69">
        <f>+JUDICIALES!G11</f>
        <v>1</v>
      </c>
      <c r="AE3" s="69">
        <f>+JUDICIALES!G15</f>
        <v>79</v>
      </c>
      <c r="AF3" s="69">
        <f>+JUDICIALES!G16</f>
        <v>72</v>
      </c>
      <c r="AG3" s="69">
        <f>+JUDICIALES!G17</f>
        <v>3</v>
      </c>
      <c r="AH3" s="69">
        <f>+JUDICIALES!G18</f>
        <v>4</v>
      </c>
      <c r="AI3" s="69">
        <f>+JUDICIALES!G21</f>
        <v>5</v>
      </c>
      <c r="AJ3" s="69">
        <f>+JUDICIALES!G22</f>
        <v>22</v>
      </c>
      <c r="AK3" s="69">
        <f>+JUDICIALES!G23</f>
        <v>47</v>
      </c>
      <c r="AL3" s="69">
        <f>+JUDICIALES!G24</f>
        <v>1</v>
      </c>
      <c r="AM3" s="69">
        <f>+JUDICIALES!H21</f>
        <v>2</v>
      </c>
      <c r="AN3" s="69">
        <f>+JUDICIALES!H22</f>
        <v>20</v>
      </c>
      <c r="AO3" s="69">
        <f>+JUDICIALES!H23</f>
        <v>47</v>
      </c>
      <c r="AP3" s="69">
        <f>+JUDICIALES!H24</f>
        <v>1</v>
      </c>
      <c r="AQ3" s="69">
        <f>+PREJUDICIALES!D10</f>
        <v>10</v>
      </c>
      <c r="AR3" s="69">
        <f>+PREJUDICIALES!D11</f>
        <v>11</v>
      </c>
      <c r="AS3" s="69">
        <f>+PREJUDICIALES!D12</f>
        <v>1</v>
      </c>
      <c r="AT3" s="69">
        <f>+PREJUDICIALES!D13</f>
        <v>9</v>
      </c>
      <c r="AU3" s="69">
        <f>+PREJUDICIALES!D14</f>
        <v>1</v>
      </c>
      <c r="AV3" s="69">
        <f>+PREJUDICIALES!D17</f>
        <v>3</v>
      </c>
      <c r="AW3" s="69">
        <f>+PREJUDICIALES!D18</f>
        <v>23</v>
      </c>
      <c r="AX3" s="69">
        <f>+PREJUDICIALES!G12</f>
        <v>0</v>
      </c>
      <c r="AY3" s="69">
        <f>+PREJUDICIALES!G13</f>
        <v>10</v>
      </c>
      <c r="AZ3" s="69">
        <f>+ARBITRAMENTOS!D9</f>
        <v>0</v>
      </c>
      <c r="BA3" s="69">
        <f>+ARBITRAMENTOS!D10</f>
        <v>0</v>
      </c>
      <c r="BB3" s="69">
        <f>ARBITRAMENTOS!G9</f>
        <v>0</v>
      </c>
      <c r="BC3" s="69">
        <f>ARBITRAMENTOS!G10</f>
        <v>1</v>
      </c>
      <c r="BD3" s="69" t="str">
        <f>+PAGOS!D9</f>
        <v>Si</v>
      </c>
      <c r="BE3" s="69">
        <f>+PAGOS!D10</f>
        <v>4</v>
      </c>
      <c r="BF3" s="70">
        <f>USUARIOS!D9</f>
        <v>0</v>
      </c>
      <c r="BG3" s="70">
        <f>ABOGADOS!D7</f>
        <v>44609</v>
      </c>
      <c r="BH3" s="70">
        <f>JUDICIALES!D8</f>
        <v>44609</v>
      </c>
      <c r="BI3" s="69" t="str">
        <f>+USUARIOS!C19</f>
        <v>El jefe financiero Sandra Patricia Bolaños remite captura de pantalla de citación a capacitación del Rol, puesto que, menciona que no recibio la certificación. 
Para el rol administrador de la Entidad la funcionaria menciona que solicitó certificado a la ANDJE, sin embargo, no se adjunta evidencia de la asistencia a esta capacitación.
Rol Jefe Juridico:  Con correo del 21-01-2022 se solicitó a la ANDJE por parte del administrador de la entidad, capacitaciones en en los roles de jefe juridico y de control interno, a la fecha no se evidencian soportes que evidencien  capacitación del Rol Jefe Juridico.</v>
      </c>
      <c r="BJ3" s="69" t="str">
        <f>+ABOGADOS!C22</f>
        <v>De la muestra tomada, no se evidencia capacitación en el rol de abogado para  Camilo Rodriguez Galeano  y Estefany Isabel Mejia, no obstante, se evidencia para Camilo Galeano capacitación en Indicadores, reportes y seguimiento del sistema Ekogui del 26-03-2021.</v>
      </c>
      <c r="BK3" s="69" t="str">
        <f>+JUDICIALES!F28</f>
        <v xml:space="preserve">La oficina juridica reporta que la diferencia entre activos reportados por ellos y activos registrados en EKOGUI, se debe a que durante la vigencia 2021 se activaron 9 procesos a fin de elaborar el desarrollo del MOG y cerrar los procesos por parte de la entidad.
Con relación a los procesos terminados segundo semestre 2021, la Oficina Juridica reporta 3, sin embargo, en EKOGUI se evidencian 4, de los cuales 3 fueron terminados por ejecutoria de la sentencia y el proceso con número de EKOGUI 2187071  fue terminado por " AUTO QUE RESUELVE RECURSO DE REPOSICION EN FIRME"
El proceso con número de EKOGUI 710884 aparece en el cuadro de activos con estado terminado
Calificación de Riesgo: Calificados en segundo semestre del 2021 se reportan 11 procesos, sin emabrgo, contando los calificados en 2022 se evidencian  72 ( 11 procesos de 2021 y 61 calificados en 2022)
Se evidencia novedad, puesto que, hay 3 procesos con calificación anterior al 30-06-2021 y 4 procesos sin calificar.
Provision contable: se evidencia dos (2) procesos: proceso 498756 y 2105721 tienen probabilidad de perde el caso "ALTA", sin embargo, presentan provisión contable 0.
</v>
      </c>
      <c r="BL3" s="69" t="str">
        <f>+PREJUDICIALES!F17</f>
        <v xml:space="preserve">La información de prejudiciales activas se obtuvo a partir de la información de los procesos que se cerraron en 2022 teniendo en cuenta la casilla "FECHA DE ULTIMA ACTUALIZACION DEL CASO", según lo consultado a soporte EKOGUI.
La Oficina juridica reporta que a 31 de diciembre de 2021 habia 10 procesos prejudiciales activos, no obstante, al verificar en ekogui en reporte del 18-02-2022, se evidencia que en enero 2022 se terminaron 11 procesos, es decir, a 31 de diciembre habian 11 prejudiciales activos en ekogui, con base a esto se preguntó a la Oficina juridica sobre el proceso de diferencia, a lo cual mencionaron que hace referenia al proceso con ID ekogui 1166085 el cual tiene fecha de registro del año 2018, y no lo habian reportado a la Oficina de Control Interno por la antiguedad, sin embargo, si estaba activo, en sintesis, son 11 prejudicales activos a 31 de diciembre del 2021. Actualmente hay 0 prejudiciales activos en EKOGUI.
Con respecto al "TOTAL PREJUDICIALES TERMINADOS ll SEMESTRE 2021" se consulto con la oficina juridica, quien dió un reporte de tres (3), sin embargo, al consultar el reporte de EKOGUI en la columna "FECHA DE ULTIMA ACTUALIZACION DEL CASO", se evidencia que en ll semestre 2021 terminaron 23. 
Con respecto a la tabla de "actualización", se tomo una muestra de 10 procesos activos a 31-12-2021, sin embargo, se evidencia que actualmente ya se encuentran todos en estado terminado.
</v>
      </c>
      <c r="BM3" s="69" t="str">
        <f>+ARBITRAMENTOS!C13</f>
        <v>La oficina Asesora juridica de la entidad reporta que no se registran arbitramentos en la vigencia 2021, sin embargo, en Ekogui se evidencia el arbitramento con numero de ekogui 2001222 terminado.</v>
      </c>
      <c r="BN3" s="69" t="str">
        <f>+PAGOS!F8</f>
        <v>El enlace de pagos de la entidad reporta que durante la vigencia 2021 se efectuo un pago al señor HECTOR EMILIO MUNERA GONZALEZ con fecha 7 diciembre 2021, sin embargo, los soportes de este se asociaron en EKOGUI en la vigencia 2022.
Al descargar el reporte de pagos, se evidencia que efectivamente se realizó este pago en la fecha indicada, asi mismo, se observan 3 pagos correspondientes a vigencias anteriores, para un total de 4 pagos enlazados.</v>
      </c>
      <c r="BO3" s="69" t="str">
        <f>'Resumen General'!B23</f>
        <v>Se evidencia que la administradora de la Entidad a solicitado a la  ANDJE capacitaciones para los diferentes Roles de la entidad, las cuales se solicitara que se realicen en este semestre según agenda de disponibilidad la ANDJE, con el fin de mejorar el indicador de nivel de capacitación.
Con respecto a las demas novedades, se informara nuevamente a la Oficina Asesora Juridica, lo evidenciado dentro de este seguimiento para que se realicén las respectivas mejoras.</v>
      </c>
    </row>
    <row r="12" spans="1:67" x14ac:dyDescent="0.25">
      <c r="A12" s="69" t="s">
        <v>37</v>
      </c>
      <c r="B12" s="69" t="s">
        <v>15</v>
      </c>
      <c r="C12" s="72" t="s">
        <v>16</v>
      </c>
      <c r="D12" s="72" t="s">
        <v>6</v>
      </c>
      <c r="E12" s="72" t="s">
        <v>7</v>
      </c>
      <c r="F12" s="72" t="s">
        <v>17</v>
      </c>
      <c r="G12" s="72" t="s">
        <v>79</v>
      </c>
    </row>
    <row r="13" spans="1:67" x14ac:dyDescent="0.25">
      <c r="A13" s="69" t="str">
        <f t="shared" ref="A13:A18" si="0">$A$3</f>
        <v>AGENCIA LOGISTICA DE LAS FUERZAS MILITARES</v>
      </c>
      <c r="B13" s="69" t="s">
        <v>0</v>
      </c>
      <c r="C13" s="69" t="str">
        <f>USUARIOS!C12</f>
        <v>Si</v>
      </c>
      <c r="D13" s="71">
        <f>USUARIOS!D12</f>
        <v>43823</v>
      </c>
      <c r="E13" s="69" t="str">
        <f>USUARIOS!E12</f>
        <v>SANDRA PATRICIA BOLAÑOS RODRIGUEZ</v>
      </c>
      <c r="F13" s="71">
        <f>USUARIOS!F12</f>
        <v>44540</v>
      </c>
      <c r="G13" s="69" t="str">
        <f>USUARIOS!G12</f>
        <v/>
      </c>
    </row>
    <row r="14" spans="1:67" x14ac:dyDescent="0.25">
      <c r="A14" s="69" t="str">
        <f t="shared" si="0"/>
        <v>AGENCIA LOGISTICA DE LAS FUERZAS MILITARES</v>
      </c>
      <c r="B14" s="69" t="s">
        <v>1</v>
      </c>
      <c r="C14" s="69" t="str">
        <f>USUARIOS!C13</f>
        <v>Si</v>
      </c>
      <c r="D14" s="71">
        <f>USUARIOS!D13</f>
        <v>42370</v>
      </c>
      <c r="E14" s="69" t="str">
        <f>USUARIOS!E13</f>
        <v xml:space="preserve">MARTHA EUGENIA CORTES BAQUERO </v>
      </c>
      <c r="F14" s="71">
        <f>USUARIOS!F13</f>
        <v>0</v>
      </c>
      <c r="G14" s="69" t="str">
        <f>USUARIOS!G13</f>
        <v>DESACTUALIZADO</v>
      </c>
    </row>
    <row r="15" spans="1:67" x14ac:dyDescent="0.25">
      <c r="A15" s="69" t="str">
        <f t="shared" si="0"/>
        <v>AGENCIA LOGISTICA DE LAS FUERZAS MILITARES</v>
      </c>
      <c r="B15" s="69" t="s">
        <v>2</v>
      </c>
      <c r="C15" s="69" t="str">
        <f>USUARIOS!C14</f>
        <v>Si</v>
      </c>
      <c r="D15" s="71">
        <f>USUARIOS!D14</f>
        <v>43546</v>
      </c>
      <c r="E15" s="69" t="str">
        <f>USUARIOS!E14</f>
        <v>DIANA MILENA TRIANA MORENO</v>
      </c>
      <c r="F15" s="71">
        <f>USUARIOS!F14</f>
        <v>44090</v>
      </c>
      <c r="G15" s="69" t="str">
        <f>USUARIOS!G14</f>
        <v/>
      </c>
    </row>
    <row r="16" spans="1:67" x14ac:dyDescent="0.25">
      <c r="A16" s="69" t="str">
        <f t="shared" si="0"/>
        <v>AGENCIA LOGISTICA DE LAS FUERZAS MILITARES</v>
      </c>
      <c r="B16" s="69" t="s">
        <v>3</v>
      </c>
      <c r="C16" s="69" t="str">
        <f>USUARIOS!C15</f>
        <v>Si</v>
      </c>
      <c r="D16" s="71">
        <f>USUARIOS!D15</f>
        <v>44379</v>
      </c>
      <c r="E16" s="69" t="str">
        <f>USUARIOS!E15</f>
        <v>ALEJANDRO ULISES MURILLO DEVIA</v>
      </c>
      <c r="F16" s="71">
        <f>USUARIOS!F15</f>
        <v>44629</v>
      </c>
      <c r="G16" s="69" t="str">
        <f>USUARIOS!G15</f>
        <v/>
      </c>
    </row>
    <row r="17" spans="1:7" x14ac:dyDescent="0.25">
      <c r="A17" s="69" t="str">
        <f t="shared" si="0"/>
        <v>AGENCIA LOGISTICA DE LAS FUERZAS MILITARES</v>
      </c>
      <c r="B17" s="69" t="s">
        <v>4</v>
      </c>
      <c r="C17" s="69" t="str">
        <f>USUARIOS!C16</f>
        <v>Si</v>
      </c>
      <c r="D17" s="71">
        <f>USUARIOS!D16</f>
        <v>42957</v>
      </c>
      <c r="E17" s="69" t="str">
        <f>USUARIOS!E16</f>
        <v xml:space="preserve">LUICILA SALAMANCA ARVELAEZ </v>
      </c>
      <c r="F17" s="71">
        <f>USUARIOS!F16</f>
        <v>44540</v>
      </c>
      <c r="G17" s="69" t="str">
        <f>USUARIOS!G16</f>
        <v/>
      </c>
    </row>
    <row r="18" spans="1:7" x14ac:dyDescent="0.25">
      <c r="A18" s="69" t="str">
        <f t="shared" si="0"/>
        <v>AGENCIA LOGISTICA DE LAS FUERZAS MILITARES</v>
      </c>
      <c r="B18" s="69" t="s">
        <v>5</v>
      </c>
      <c r="C18" s="69" t="str">
        <f>USUARIOS!C17</f>
        <v>Si</v>
      </c>
      <c r="D18" s="71">
        <f>USUARIOS!D17</f>
        <v>43624</v>
      </c>
      <c r="E18" s="69" t="str">
        <f>USUARIOS!E17</f>
        <v>ESTEFANY ISABEL MEJIA GOMEZ</v>
      </c>
      <c r="F18" s="71">
        <f>USUARIOS!F17</f>
        <v>0</v>
      </c>
      <c r="G18" s="69" t="str">
        <f>USUARIOS!G17</f>
        <v>DESACTUALIZADO</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Maura Sierra Suarez</cp:lastModifiedBy>
  <dcterms:created xsi:type="dcterms:W3CDTF">2020-06-25T21:16:25Z</dcterms:created>
  <dcterms:modified xsi:type="dcterms:W3CDTF">2022-05-26T16:37:29Z</dcterms:modified>
</cp:coreProperties>
</file>